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27" documentId="8_{4E218C36-999A-448E-9670-4D47039DE0CA}" xr6:coauthVersionLast="47" xr6:coauthVersionMax="47" xr10:uidLastSave="{597A5061-0BE8-421A-9218-F3AB256D21AA}"/>
  <bookViews>
    <workbookView xWindow="-120" yWindow="-120" windowWidth="29040" windowHeight="17640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310 (2)_5...3d931dee_QNK8R2" sheetId="17" state="hidden" r:id="rId14"/>
    <sheet name="OSR_300 &amp; 317_1C00ID4" sheetId="19" state="hidden" r:id="rId15"/>
    <sheet name="OSR_300 (2)_...6aa5a22d_14M6XO4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...853a34aa_1UNC34K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)...32d16c57_IVJ1QO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30" sheetId="24" r:id="rId52"/>
    <sheet name="307" sheetId="63" r:id="rId53"/>
    <sheet name="308" sheetId="27" r:id="rId54"/>
    <sheet name="311" sheetId="65" r:id="rId55"/>
    <sheet name="324" sheetId="73" r:id="rId56"/>
    <sheet name="331" sheetId="30" r:id="rId57"/>
    <sheet name="315" sheetId="67" r:id="rId58"/>
    <sheet name="326" sheetId="75" r:id="rId59"/>
    <sheet name="332" sheetId="33" r:id="rId60"/>
    <sheet name="316" sheetId="68" r:id="rId61"/>
    <sheet name="Div 6" sheetId="51" r:id="rId62"/>
    <sheet name="317" sheetId="69" r:id="rId63"/>
    <sheet name="310" sheetId="21" r:id="rId64"/>
    <sheet name="309" sheetId="64" r:id="rId65"/>
    <sheet name="321" sheetId="71" r:id="rId66"/>
    <sheet name="322" sheetId="72" r:id="rId67"/>
    <sheet name="325" sheetId="74" r:id="rId68"/>
    <sheet name="327" sheetId="76" r:id="rId69"/>
    <sheet name="Div 4" sheetId="36" r:id="rId70"/>
    <sheet name="310 &amp; 491" sheetId="39" r:id="rId71"/>
    <sheet name="491" sheetId="42" r:id="rId72"/>
    <sheet name="405" sheetId="77" r:id="rId73"/>
    <sheet name="406" sheetId="78" r:id="rId74"/>
    <sheet name="411" sheetId="79" r:id="rId75"/>
    <sheet name="412" sheetId="80" r:id="rId76"/>
    <sheet name="413" sheetId="81" r:id="rId77"/>
    <sheet name="414" sheetId="82" r:id="rId78"/>
    <sheet name="415" sheetId="83" r:id="rId79"/>
    <sheet name="418" sheetId="84" r:id="rId80"/>
    <sheet name="423" sheetId="85" r:id="rId81"/>
    <sheet name="424" sheetId="86" r:id="rId82"/>
    <sheet name="425" sheetId="87" r:id="rId83"/>
    <sheet name="492" sheetId="45" r:id="rId84"/>
    <sheet name="430" sheetId="88" r:id="rId85"/>
    <sheet name="433" sheetId="89" r:id="rId86"/>
    <sheet name="444" sheetId="90" r:id="rId87"/>
    <sheet name="450" sheetId="91" r:id="rId88"/>
    <sheet name="Div 5" sheetId="48" r:id="rId89"/>
    <sheet name="501" sheetId="92" r:id="rId90"/>
    <sheet name="Dept" sheetId="93" state="hidden" r:id="rId91"/>
    <sheet name="OSR_Dept_Y0WUKY" sheetId="94" state="hidden" r:id="rId92"/>
    <sheet name="OSR_Summary (...56e5d78f_5JEYZH" sheetId="95" state="hidden" r:id="rId93"/>
  </sheets>
  <definedNames>
    <definedName name="OSRRefD13x_0" localSheetId="48">'300'!$D$13:$D$19</definedName>
    <definedName name="OSRRefD13x_0" localSheetId="49">'300 &amp; 317'!$D$13:$D$19</definedName>
    <definedName name="OSRRefD13x_0" localSheetId="52">'307'!$D$13:$D$16</definedName>
    <definedName name="OSRRefD13x_0" localSheetId="53">'308'!$D$13:$D$17</definedName>
    <definedName name="OSRRefD13x_0" localSheetId="63">'310'!$D$13:$D$16</definedName>
    <definedName name="OSRRefD13x_0" localSheetId="70">'310 &amp; 491'!$D$13:$D$18</definedName>
    <definedName name="OSRRefD13x_0" localSheetId="54">'311'!$D$13:$D$17</definedName>
    <definedName name="OSRRefD13x_0" localSheetId="57">'315'!$D$13:$D$17</definedName>
    <definedName name="OSRRefD13x_0" localSheetId="60">'316'!$D$13:$D$17</definedName>
    <definedName name="OSRRefD13x_0" localSheetId="62">'317'!$D$13:$D$17</definedName>
    <definedName name="OSRRefD13x_0" localSheetId="65">'321'!$D$13:$D$14</definedName>
    <definedName name="OSRRefD13x_0" localSheetId="55">'324'!$D$13:$D$14</definedName>
    <definedName name="OSRRefD13x_0" localSheetId="67">'325'!$D$13:$D$14</definedName>
    <definedName name="OSRRefD13x_0" localSheetId="58">'326'!$D$13:$D$16</definedName>
    <definedName name="OSRRefD13x_0" localSheetId="68">'327'!$D$13:$D$15</definedName>
    <definedName name="OSRRefD13x_0" localSheetId="51">'330'!$D$13:$D$16</definedName>
    <definedName name="OSRRefD13x_0" localSheetId="56">'331'!$D$13:$D$17</definedName>
    <definedName name="OSRRefD13x_0" localSheetId="59">'332'!$D$13:$D$17</definedName>
    <definedName name="OSRRefD13x_0" localSheetId="72">'405'!$D$13:$D$16</definedName>
    <definedName name="OSRRefD13x_0" localSheetId="78">'415'!$D$13:$D$16</definedName>
    <definedName name="OSRRefD13x_0" localSheetId="79">'418'!$D$13:$D$14</definedName>
    <definedName name="OSRRefD13x_0" localSheetId="82">'425'!$D$13</definedName>
    <definedName name="OSRRefD13x_0" localSheetId="85">'433'!$D$13:$D$16</definedName>
    <definedName name="OSRRefD13x_0" localSheetId="86">'444'!$D$13:$D$16</definedName>
    <definedName name="OSRRefD13x_0" localSheetId="87">'450'!$D$13:$D$16</definedName>
    <definedName name="OSRRefD13x_0" localSheetId="71">'491'!$D$13:$D$17</definedName>
    <definedName name="OSRRefD13x_0" localSheetId="83">'492'!$D$13:$D$16</definedName>
    <definedName name="OSRRefD13x_0" localSheetId="89">'501'!$D$13</definedName>
    <definedName name="OSRRefD13x_0" localSheetId="47">'Div 3'!$D$13:$D$21</definedName>
    <definedName name="OSRRefD13x_0" localSheetId="69">'Div 4'!$D$13:$D$18</definedName>
    <definedName name="OSRRefD13x_0" localSheetId="88">'Div 5'!$D$13</definedName>
    <definedName name="OSRRefD13x_0" localSheetId="61">'Div 6'!$D$13:$D$17</definedName>
    <definedName name="OSRRefD13x_0" localSheetId="2">Summary!$D$13:$D$23</definedName>
    <definedName name="OSRRefD16x_0" localSheetId="48">'300'!$D$22:$D$48</definedName>
    <definedName name="OSRRefD16x_0" localSheetId="49">'300 &amp; 317'!$D$22:$D$54</definedName>
    <definedName name="OSRRefD16x_0" localSheetId="50">'301'!$D$15</definedName>
    <definedName name="OSRRefD16x_0" localSheetId="52">'307'!$D$19:$D$28</definedName>
    <definedName name="OSRRefD16x_0" localSheetId="53">'308'!$D$20:$D$29</definedName>
    <definedName name="OSRRefD16x_0" localSheetId="63">'310'!$D$19:$D$21</definedName>
    <definedName name="OSRRefD16x_0" localSheetId="70">'310 &amp; 491'!$D$21:$D$23</definedName>
    <definedName name="OSRRefD16x_0" localSheetId="54">'311'!$D$20:$D$29</definedName>
    <definedName name="OSRRefD16x_0" localSheetId="57">'315'!$D$20:$D$38</definedName>
    <definedName name="OSRRefD16x_0" localSheetId="60">'316'!$D$20</definedName>
    <definedName name="OSRRefD16x_0" localSheetId="62">'317'!$D$20:$D$29</definedName>
    <definedName name="OSRRefD16x_0" localSheetId="65">'321'!$D$17</definedName>
    <definedName name="OSRRefD16x_0" localSheetId="55">'324'!$D$17</definedName>
    <definedName name="OSRRefD16x_0" localSheetId="67">'325'!$D$17:$D$19</definedName>
    <definedName name="OSRRefD16x_0" localSheetId="58">'326'!$D$19:$D$22</definedName>
    <definedName name="OSRRefD16x_0" localSheetId="68">'327'!$D$18:$D$20</definedName>
    <definedName name="OSRRefD16x_0" localSheetId="51">'330'!$D$19:$D$28</definedName>
    <definedName name="OSRRefD16x_0" localSheetId="56">'331'!$D$20:$D$38</definedName>
    <definedName name="OSRRefD16x_0" localSheetId="59">'332'!$D$20</definedName>
    <definedName name="OSRRefD16x_0" localSheetId="72">'405'!$D$19:$D$21</definedName>
    <definedName name="OSRRefD16x_0" localSheetId="78">'415'!$D$19:$D$21</definedName>
    <definedName name="OSRRefD16x_0" localSheetId="79">'418'!$D$17:$D$18</definedName>
    <definedName name="OSRRefD16x_0" localSheetId="82">'425'!$D$16</definedName>
    <definedName name="OSRRefD16x_0" localSheetId="85">'433'!$D$19:$D$21</definedName>
    <definedName name="OSRRefD16x_0" localSheetId="86">'444'!$D$19:$D$21</definedName>
    <definedName name="OSRRefD16x_0" localSheetId="87">'450'!$D$19:$D$21</definedName>
    <definedName name="OSRRefD16x_0" localSheetId="71">'491'!$D$20:$D$22</definedName>
    <definedName name="OSRRefD16x_0" localSheetId="83">'492'!$D$19:$D$21</definedName>
    <definedName name="OSRRefD16x_0" localSheetId="47">'Div 3'!$D$24:$D$52</definedName>
    <definedName name="OSRRefD16x_0" localSheetId="69">'Div 4'!$D$21:$D$23</definedName>
    <definedName name="OSRRefD16x_0" localSheetId="61">'Div 6'!$D$20:$D$29</definedName>
    <definedName name="OSRRefD16x_0" localSheetId="2">Summary!$D$26:$D$60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'204'!$D$20:$D$28</definedName>
    <definedName name="OSRRefD22_0x_0" localSheetId="45">'205'!$D$20:$D$28</definedName>
    <definedName name="OSRRefD22_0x_0" localSheetId="46">'206'!$D$20:$D$28</definedName>
    <definedName name="OSRRefD22_0x_0" localSheetId="48">'300'!$D$54:$D$63</definedName>
    <definedName name="OSRRefD22_0x_0" localSheetId="49">'300 &amp; 317'!$D$60:$D$69</definedName>
    <definedName name="OSRRefD22_0x_0" localSheetId="50">'301'!$D$21:$D$30</definedName>
    <definedName name="OSRRefD22_0x_0" localSheetId="52">'307'!$D$34:$D$41</definedName>
    <definedName name="OSRRefD22_0x_0" localSheetId="53">'308'!$D$35:$D$44</definedName>
    <definedName name="OSRRefD22_0x_0" localSheetId="64">'309'!$D$20</definedName>
    <definedName name="OSRRefD22_0x_0" localSheetId="63">'310'!$D$27:$D$35</definedName>
    <definedName name="OSRRefD22_0x_0" localSheetId="70">'310 &amp; 491'!$D$29:$D$37</definedName>
    <definedName name="OSRRefD22_0x_0" localSheetId="54">'311'!$D$35:$D$44</definedName>
    <definedName name="OSRRefD22_0x_0" localSheetId="57">'315'!$D$44:$D$52</definedName>
    <definedName name="OSRRefD22_0x_0" localSheetId="60">'316'!$D$26:$D$34</definedName>
    <definedName name="OSRRefD22_0x_0" localSheetId="62">'317'!$D$35:$D$44</definedName>
    <definedName name="OSRRefD22_0x_0" localSheetId="65">'321'!$D$23:$D$31</definedName>
    <definedName name="OSRRefD22_0x_0" localSheetId="66">'322'!$D$20</definedName>
    <definedName name="OSRRefD22_0x_0" localSheetId="67">'325'!$D$25:$D$33</definedName>
    <definedName name="OSRRefD22_0x_0" localSheetId="58">'326'!$D$28:$D$36</definedName>
    <definedName name="OSRRefD22_0x_0" localSheetId="68">'327'!$D$26</definedName>
    <definedName name="OSRRefD22_0x_0" localSheetId="51">'330'!$D$34:$D$41</definedName>
    <definedName name="OSRRefD22_0x_0" localSheetId="56">'331'!$D$44:$D$52</definedName>
    <definedName name="OSRRefD22_0x_0" localSheetId="59">'332'!$D$26:$D$34</definedName>
    <definedName name="OSRRefD22_0x_0" localSheetId="72">'405'!$D$27:$D$35</definedName>
    <definedName name="OSRRefD22_0x_0" localSheetId="73">'406'!$D$20</definedName>
    <definedName name="OSRRefD22_0x_0" localSheetId="74">'411'!$D$20:$D$28</definedName>
    <definedName name="OSRRefD22_0x_0" localSheetId="75">'412'!$D$20</definedName>
    <definedName name="OSRRefD22_0x_0" localSheetId="76">'413'!$D$20</definedName>
    <definedName name="OSRRefD22_0x_0" localSheetId="77">'414'!$D$20</definedName>
    <definedName name="OSRRefD22_0x_0" localSheetId="78">'415'!$D$27:$D$35</definedName>
    <definedName name="OSRRefD22_0x_0" localSheetId="79">'418'!$D$24:$D$32</definedName>
    <definedName name="OSRRefD22_0x_0" localSheetId="80">'423'!$D$20:$D$27</definedName>
    <definedName name="OSRRefD22_0x_0" localSheetId="81">'424'!$D$20</definedName>
    <definedName name="OSRRefD22_0x_0" localSheetId="82">'425'!$D$22</definedName>
    <definedName name="OSRRefD22_0x_0" localSheetId="84">'430'!$D$20:$D$28</definedName>
    <definedName name="OSRRefD22_0x_0" localSheetId="85">'433'!$D$27:$D$36</definedName>
    <definedName name="OSRRefD22_0x_0" localSheetId="86">'444'!$D$27:$D$36</definedName>
    <definedName name="OSRRefD22_0x_0" localSheetId="87">'450'!$D$27:$D$36</definedName>
    <definedName name="OSRRefD22_0x_0" localSheetId="71">'491'!$D$28:$D$36</definedName>
    <definedName name="OSRRefD22_0x_0" localSheetId="83">'492'!$D$27:$D$36</definedName>
    <definedName name="OSRRefD22_0x_0" localSheetId="89">'501'!$D$21:$D$30</definedName>
    <definedName name="OSRRefD22_0x_0" localSheetId="39">'Div 2'!$D$20:$D$30</definedName>
    <definedName name="OSRRefD22_0x_0" localSheetId="47">'Div 3'!$D$58:$D$67</definedName>
    <definedName name="OSRRefD22_0x_0" localSheetId="69">'Div 4'!$D$29:$D$38</definedName>
    <definedName name="OSRRefD22_0x_0" localSheetId="88">'Div 5'!$D$21:$D$30</definedName>
    <definedName name="OSRRefD22_0x_0" localSheetId="61">'Div 6'!$D$35:$D$44</definedName>
    <definedName name="OSRRefD22_0x_0" localSheetId="2">Summary!$D$66:$D$75</definedName>
    <definedName name="OSRRefD22_10x_0" localSheetId="41">'201'!$D$59</definedName>
    <definedName name="OSRRefD22_10x_0" localSheetId="42">'202'!$D$59</definedName>
    <definedName name="OSRRefD22_10x_0" localSheetId="43">'203'!$D$61</definedName>
    <definedName name="OSRRefD22_10x_0" localSheetId="48">'300'!$D$94:$D$95</definedName>
    <definedName name="OSRRefD22_10x_0" localSheetId="49">'300 &amp; 317'!$D$100:$D$101</definedName>
    <definedName name="OSRRefD22_10x_0" localSheetId="50">'301'!$D$60</definedName>
    <definedName name="OSRRefD22_10x_0" localSheetId="52">'307'!$D$72:$D$73</definedName>
    <definedName name="OSRRefD22_10x_0" localSheetId="53">'308'!$D$75:$D$76</definedName>
    <definedName name="OSRRefD22_10x_0" localSheetId="63">'310'!$D$65:$D$67</definedName>
    <definedName name="OSRRefD22_10x_0" localSheetId="70">'310 &amp; 491'!$D$67</definedName>
    <definedName name="OSRRefD22_10x_0" localSheetId="54">'311'!$D$75:$D$76</definedName>
    <definedName name="OSRRefD22_10x_0" localSheetId="57">'315'!$D$82</definedName>
    <definedName name="OSRRefD22_10x_0" localSheetId="60">'316'!$D$69</definedName>
    <definedName name="OSRRefD22_10x_0" localSheetId="65">'321'!$D$65</definedName>
    <definedName name="OSRRefD22_10x_0" localSheetId="67">'325'!$D$63:$D$65</definedName>
    <definedName name="OSRRefD22_10x_0" localSheetId="58">'326'!$D$65</definedName>
    <definedName name="OSRRefD22_10x_0" localSheetId="51">'330'!$D$72:$D$73</definedName>
    <definedName name="OSRRefD22_10x_0" localSheetId="56">'331'!$D$83</definedName>
    <definedName name="OSRRefD22_10x_0" localSheetId="59">'332'!$D$69</definedName>
    <definedName name="OSRRefD22_10x_0" localSheetId="72">'405'!$D$66:$D$69</definedName>
    <definedName name="OSRRefD22_10x_0" localSheetId="74">'411'!$D$62</definedName>
    <definedName name="OSRRefD22_10x_0" localSheetId="78">'415'!$D$65:$D$66</definedName>
    <definedName name="OSRRefD22_10x_0" localSheetId="79">'418'!$D$66</definedName>
    <definedName name="OSRRefD22_10x_0" localSheetId="85">'433'!$D$65</definedName>
    <definedName name="OSRRefD22_10x_0" localSheetId="86">'444'!$D$65</definedName>
    <definedName name="OSRRefD22_10x_0" localSheetId="87">'450'!$D$65</definedName>
    <definedName name="OSRRefD22_10x_0" localSheetId="71">'491'!$D$66</definedName>
    <definedName name="OSRRefD22_10x_0" localSheetId="83">'492'!$D$65</definedName>
    <definedName name="OSRRefD22_10x_0" localSheetId="89">'501'!$D$62</definedName>
    <definedName name="OSRRefD22_10x_0" localSheetId="39">'Div 2'!$D$60</definedName>
    <definedName name="OSRRefD22_10x_0" localSheetId="47">'Div 3'!$D$98:$D$99</definedName>
    <definedName name="OSRRefD22_10x_0" localSheetId="69">'Div 4'!$D$68</definedName>
    <definedName name="OSRRefD22_10x_0" localSheetId="88">'Div 5'!$D$62</definedName>
    <definedName name="OSRRefD22_10x_0" localSheetId="2">Summary!$D$106:$D$107</definedName>
    <definedName name="OSRRefD22_11x_0" localSheetId="41">'201'!$D$61:$D$62</definedName>
    <definedName name="OSRRefD22_11x_0" localSheetId="42">'202'!$D$61</definedName>
    <definedName name="OSRRefD22_11x_0" localSheetId="43">'203'!$D$63:$D$66</definedName>
    <definedName name="OSRRefD22_11x_0" localSheetId="48">'300'!$D$97:$D$98</definedName>
    <definedName name="OSRRefD22_11x_0" localSheetId="49">'300 &amp; 317'!$D$103:$D$104</definedName>
    <definedName name="OSRRefD22_11x_0" localSheetId="50">'301'!$D$62</definedName>
    <definedName name="OSRRefD22_11x_0" localSheetId="52">'307'!$D$75:$D$78</definedName>
    <definedName name="OSRRefD22_11x_0" localSheetId="53">'308'!$D$78:$D$79</definedName>
    <definedName name="OSRRefD22_11x_0" localSheetId="63">'310'!$D$69</definedName>
    <definedName name="OSRRefD22_11x_0" localSheetId="70">'310 &amp; 491'!$D$69</definedName>
    <definedName name="OSRRefD22_11x_0" localSheetId="54">'311'!$D$78:$D$79</definedName>
    <definedName name="OSRRefD22_11x_0" localSheetId="57">'315'!$D$84:$D$85</definedName>
    <definedName name="OSRRefD22_11x_0" localSheetId="65">'321'!$D$67</definedName>
    <definedName name="OSRRefD22_11x_0" localSheetId="67">'325'!$D$67:$D$69</definedName>
    <definedName name="OSRRefD22_11x_0" localSheetId="58">'326'!$D$67:$D$68</definedName>
    <definedName name="OSRRefD22_11x_0" localSheetId="51">'330'!$D$75:$D$78</definedName>
    <definedName name="OSRRefD22_11x_0" localSheetId="56">'331'!$D$85</definedName>
    <definedName name="OSRRefD22_11x_0" localSheetId="72">'405'!$D$71</definedName>
    <definedName name="OSRRefD22_11x_0" localSheetId="74">'411'!$D$64</definedName>
    <definedName name="OSRRefD22_11x_0" localSheetId="78">'415'!$D$68:$D$71</definedName>
    <definedName name="OSRRefD22_11x_0" localSheetId="79">'418'!$D$68:$D$75</definedName>
    <definedName name="OSRRefD22_11x_0" localSheetId="85">'433'!$D$67:$D$69</definedName>
    <definedName name="OSRRefD22_11x_0" localSheetId="86">'444'!$D$67:$D$68</definedName>
    <definedName name="OSRRefD22_11x_0" localSheetId="87">'450'!$D$67:$D$69</definedName>
    <definedName name="OSRRefD22_11x_0" localSheetId="71">'491'!$D$68</definedName>
    <definedName name="OSRRefD22_11x_0" localSheetId="83">'492'!$D$67</definedName>
    <definedName name="OSRRefD22_11x_0" localSheetId="89">'501'!$D$64:$D$66</definedName>
    <definedName name="OSRRefD22_11x_0" localSheetId="39">'Div 2'!$D$62</definedName>
    <definedName name="OSRRefD22_11x_0" localSheetId="47">'Div 3'!$D$101:$D$102</definedName>
    <definedName name="OSRRefD22_11x_0" localSheetId="69">'Div 4'!$D$70</definedName>
    <definedName name="OSRRefD22_11x_0" localSheetId="88">'Div 5'!$D$64:$D$66</definedName>
    <definedName name="OSRRefD22_11x_0" localSheetId="2">Summary!$D$109:$D$110</definedName>
    <definedName name="OSRRefD22_12x_0" localSheetId="41">'201'!$D$64</definedName>
    <definedName name="OSRRefD22_12x_0" localSheetId="43">'203'!$D$68</definedName>
    <definedName name="OSRRefD22_12x_0" localSheetId="48">'300'!$D$100</definedName>
    <definedName name="OSRRefD22_12x_0" localSheetId="49">'300 &amp; 317'!$D$106</definedName>
    <definedName name="OSRRefD22_12x_0" localSheetId="50">'301'!$D$64</definedName>
    <definedName name="OSRRefD22_12x_0" localSheetId="52">'307'!$D$80</definedName>
    <definedName name="OSRRefD22_12x_0" localSheetId="63">'310'!$D$71:$D$73</definedName>
    <definedName name="OSRRefD22_12x_0" localSheetId="70">'310 &amp; 491'!$D$71:$D$73</definedName>
    <definedName name="OSRRefD22_12x_0" localSheetId="57">'315'!$D$87:$D$89</definedName>
    <definedName name="OSRRefD22_12x_0" localSheetId="67">'325'!$D$71:$D$75</definedName>
    <definedName name="OSRRefD22_12x_0" localSheetId="58">'326'!$D$70:$D$71</definedName>
    <definedName name="OSRRefD22_12x_0" localSheetId="51">'330'!$D$80</definedName>
    <definedName name="OSRRefD22_12x_0" localSheetId="56">'331'!$D$87</definedName>
    <definedName name="OSRRefD22_12x_0" localSheetId="72">'405'!$D$73:$D$80</definedName>
    <definedName name="OSRRefD22_12x_0" localSheetId="74">'411'!$D$66</definedName>
    <definedName name="OSRRefD22_12x_0" localSheetId="78">'415'!$D$73</definedName>
    <definedName name="OSRRefD22_12x_0" localSheetId="79">'418'!$D$77:$D$78</definedName>
    <definedName name="OSRRefD22_12x_0" localSheetId="85">'433'!$D$71:$D$74</definedName>
    <definedName name="OSRRefD22_12x_0" localSheetId="86">'444'!$D$70:$D$73</definedName>
    <definedName name="OSRRefD22_12x_0" localSheetId="87">'450'!$D$71:$D$74</definedName>
    <definedName name="OSRRefD22_12x_0" localSheetId="71">'491'!$D$70:$D$72</definedName>
    <definedName name="OSRRefD22_12x_0" localSheetId="83">'492'!$D$69:$D$71</definedName>
    <definedName name="OSRRefD22_12x_0" localSheetId="89">'501'!$D$68</definedName>
    <definedName name="OSRRefD22_12x_0" localSheetId="39">'Div 2'!$D$64:$D$67</definedName>
    <definedName name="OSRRefD22_12x_0" localSheetId="47">'Div 3'!$D$104</definedName>
    <definedName name="OSRRefD22_12x_0" localSheetId="69">'Div 4'!$D$72</definedName>
    <definedName name="OSRRefD22_12x_0" localSheetId="88">'Div 5'!$D$68</definedName>
    <definedName name="OSRRefD22_12x_0" localSheetId="2">Summary!$D$112</definedName>
    <definedName name="OSRRefD22_13x_0" localSheetId="41">'201'!$D$66</definedName>
    <definedName name="OSRRefD22_13x_0" localSheetId="43">'203'!$D$70</definedName>
    <definedName name="OSRRefD22_13x_0" localSheetId="48">'300'!$D$102</definedName>
    <definedName name="OSRRefD22_13x_0" localSheetId="49">'300 &amp; 317'!$D$108</definedName>
    <definedName name="OSRRefD22_13x_0" localSheetId="50">'301'!$D$66</definedName>
    <definedName name="OSRRefD22_13x_0" localSheetId="63">'310'!$D$75:$D$79</definedName>
    <definedName name="OSRRefD22_13x_0" localSheetId="70">'310 &amp; 491'!$D$75:$D$76</definedName>
    <definedName name="OSRRefD22_13x_0" localSheetId="57">'315'!$D$91:$D$92</definedName>
    <definedName name="OSRRefD22_13x_0" localSheetId="67">'325'!$D$77:$D$78</definedName>
    <definedName name="OSRRefD22_13x_0" localSheetId="58">'326'!$D$73:$D$74</definedName>
    <definedName name="OSRRefD22_13x_0" localSheetId="56">'331'!$D$89:$D$90</definedName>
    <definedName name="OSRRefD22_13x_0" localSheetId="72">'405'!$D$82</definedName>
    <definedName name="OSRRefD22_13x_0" localSheetId="74">'411'!$D$68</definedName>
    <definedName name="OSRRefD22_13x_0" localSheetId="78">'415'!$D$75:$D$80</definedName>
    <definedName name="OSRRefD22_13x_0" localSheetId="79">'418'!$D$80</definedName>
    <definedName name="OSRRefD22_13x_0" localSheetId="85">'433'!$D$76:$D$83</definedName>
    <definedName name="OSRRefD22_13x_0" localSheetId="86">'444'!$D$75:$D$81</definedName>
    <definedName name="OSRRefD22_13x_0" localSheetId="87">'450'!$D$76:$D$82</definedName>
    <definedName name="OSRRefD22_13x_0" localSheetId="71">'491'!$D$74</definedName>
    <definedName name="OSRRefD22_13x_0" localSheetId="83">'492'!$D$73:$D$76</definedName>
    <definedName name="OSRRefD22_13x_0" localSheetId="89">'501'!$D$70</definedName>
    <definedName name="OSRRefD22_13x_0" localSheetId="39">'Div 2'!$D$69:$D$72</definedName>
    <definedName name="OSRRefD22_13x_0" localSheetId="47">'Div 3'!$D$106</definedName>
    <definedName name="OSRRefD22_13x_0" localSheetId="69">'Div 4'!$D$74</definedName>
    <definedName name="OSRRefD22_13x_0" localSheetId="88">'Div 5'!$D$70</definedName>
    <definedName name="OSRRefD22_13x_0" localSheetId="2">Summary!$D$114</definedName>
    <definedName name="OSRRefD22_14x_0" localSheetId="48">'300'!$D$104</definedName>
    <definedName name="OSRRefD22_14x_0" localSheetId="49">'300 &amp; 317'!$D$110</definedName>
    <definedName name="OSRRefD22_14x_0" localSheetId="50">'301'!$D$68</definedName>
    <definedName name="OSRRefD22_14x_0" localSheetId="63">'310'!$D$81:$D$82</definedName>
    <definedName name="OSRRefD22_14x_0" localSheetId="70">'310 &amp; 491'!$D$78:$D$82</definedName>
    <definedName name="OSRRefD22_14x_0" localSheetId="57">'315'!$D$94:$D$96</definedName>
    <definedName name="OSRRefD22_14x_0" localSheetId="67">'325'!$D$80</definedName>
    <definedName name="OSRRefD22_14x_0" localSheetId="58">'326'!$D$76:$D$78</definedName>
    <definedName name="OSRRefD22_14x_0" localSheetId="56">'331'!$D$92:$D$94</definedName>
    <definedName name="OSRRefD22_14x_0" localSheetId="72">'405'!$D$84</definedName>
    <definedName name="OSRRefD22_14x_0" localSheetId="78">'415'!$D$82:$D$83</definedName>
    <definedName name="OSRRefD22_14x_0" localSheetId="79">'418'!$D$82</definedName>
    <definedName name="OSRRefD22_14x_0" localSheetId="85">'433'!$D$85</definedName>
    <definedName name="OSRRefD22_14x_0" localSheetId="86">'444'!$D$83</definedName>
    <definedName name="OSRRefD22_14x_0" localSheetId="87">'450'!$D$84</definedName>
    <definedName name="OSRRefD22_14x_0" localSheetId="71">'491'!$D$76:$D$80</definedName>
    <definedName name="OSRRefD22_14x_0" localSheetId="83">'492'!$D$78:$D$85</definedName>
    <definedName name="OSRRefD22_14x_0" localSheetId="39">'Div 2'!$D$74:$D$75</definedName>
    <definedName name="OSRRefD22_14x_0" localSheetId="47">'Div 3'!$D$108</definedName>
    <definedName name="OSRRefD22_14x_0" localSheetId="69">'Div 4'!$D$76:$D$78</definedName>
    <definedName name="OSRRefD22_14x_0" localSheetId="2">Summary!$D$116</definedName>
    <definedName name="OSRRefD22_15x_0" localSheetId="48">'300'!$D$106</definedName>
    <definedName name="OSRRefD22_15x_0" localSheetId="49">'300 &amp; 317'!$D$112</definedName>
    <definedName name="OSRRefD22_15x_0" localSheetId="50">'301'!$D$70:$D$73</definedName>
    <definedName name="OSRRefD22_15x_0" localSheetId="63">'310'!$D$84</definedName>
    <definedName name="OSRRefD22_15x_0" localSheetId="70">'310 &amp; 491'!$D$84</definedName>
    <definedName name="OSRRefD22_15x_0" localSheetId="57">'315'!$D$98</definedName>
    <definedName name="OSRRefD22_15x_0" localSheetId="58">'326'!$D$80</definedName>
    <definedName name="OSRRefD22_15x_0" localSheetId="56">'331'!$D$96:$D$97</definedName>
    <definedName name="OSRRefD22_15x_0" localSheetId="72">'405'!$D$86</definedName>
    <definedName name="OSRRefD22_15x_0" localSheetId="78">'415'!$D$85</definedName>
    <definedName name="OSRRefD22_15x_0" localSheetId="86">'444'!$D$85</definedName>
    <definedName name="OSRRefD22_15x_0" localSheetId="87">'450'!$D$86</definedName>
    <definedName name="OSRRefD22_15x_0" localSheetId="71">'491'!$D$82</definedName>
    <definedName name="OSRRefD22_15x_0" localSheetId="83">'492'!$D$87:$D$88</definedName>
    <definedName name="OSRRefD22_15x_0" localSheetId="39">'Div 2'!$D$77</definedName>
    <definedName name="OSRRefD22_15x_0" localSheetId="47">'Div 3'!$D$110</definedName>
    <definedName name="OSRRefD22_15x_0" localSheetId="69">'Div 4'!$D$80</definedName>
    <definedName name="OSRRefD22_15x_0" localSheetId="2">Summary!$D$118</definedName>
    <definedName name="OSRRefD22_16x_0" localSheetId="48">'300'!$D$108:$D$111</definedName>
    <definedName name="OSRRefD22_16x_0" localSheetId="49">'300 &amp; 317'!$D$114:$D$117</definedName>
    <definedName name="OSRRefD22_16x_0" localSheetId="50">'301'!$D$75:$D$76</definedName>
    <definedName name="OSRRefD22_16x_0" localSheetId="63">'310'!$D$86</definedName>
    <definedName name="OSRRefD22_16x_0" localSheetId="70">'310 &amp; 491'!$D$86:$D$95</definedName>
    <definedName name="OSRRefD22_16x_0" localSheetId="57">'315'!$D$100</definedName>
    <definedName name="OSRRefD22_16x_0" localSheetId="58">'326'!$D$82:$D$83</definedName>
    <definedName name="OSRRefD22_16x_0" localSheetId="56">'331'!$D$99:$D$100</definedName>
    <definedName name="OSRRefD22_16x_0" localSheetId="78">'415'!$D$87</definedName>
    <definedName name="OSRRefD22_16x_0" localSheetId="87">'450'!$D$88</definedName>
    <definedName name="OSRRefD22_16x_0" localSheetId="71">'491'!$D$84:$D$92</definedName>
    <definedName name="OSRRefD22_16x_0" localSheetId="83">'492'!$D$90</definedName>
    <definedName name="OSRRefD22_16x_0" localSheetId="39">'Div 2'!$D$79:$D$84</definedName>
    <definedName name="OSRRefD22_16x_0" localSheetId="47">'Div 3'!$D$112</definedName>
    <definedName name="OSRRefD22_16x_0" localSheetId="69">'Div 4'!$D$82:$D$86</definedName>
    <definedName name="OSRRefD22_16x_0" localSheetId="2">Summary!$D$120</definedName>
    <definedName name="OSRRefD22_17x_0" localSheetId="48">'300'!$D$113:$D$116</definedName>
    <definedName name="OSRRefD22_17x_0" localSheetId="49">'300 &amp; 317'!$D$119:$D$122</definedName>
    <definedName name="OSRRefD22_17x_0" localSheetId="50">'301'!$D$78</definedName>
    <definedName name="OSRRefD22_17x_0" localSheetId="70">'310 &amp; 491'!$D$97:$D$98</definedName>
    <definedName name="OSRRefD22_17x_0" localSheetId="58">'326'!$D$85</definedName>
    <definedName name="OSRRefD22_17x_0" localSheetId="56">'331'!$D$102:$D$105</definedName>
    <definedName name="OSRRefD22_17x_0" localSheetId="71">'491'!$D$94:$D$95</definedName>
    <definedName name="OSRRefD22_17x_0" localSheetId="83">'492'!$D$92:$D$93</definedName>
    <definedName name="OSRRefD22_17x_0" localSheetId="39">'Div 2'!$D$86:$D$87</definedName>
    <definedName name="OSRRefD22_17x_0" localSheetId="47">'Div 3'!$D$114:$D$117</definedName>
    <definedName name="OSRRefD22_17x_0" localSheetId="69">'Div 4'!$D$88</definedName>
    <definedName name="OSRRefD22_17x_0" localSheetId="2">Summary!$D$122</definedName>
    <definedName name="OSRRefD22_18x_0" localSheetId="48">'300'!$D$118:$D$120</definedName>
    <definedName name="OSRRefD22_18x_0" localSheetId="49">'300 &amp; 317'!$D$124:$D$126</definedName>
    <definedName name="OSRRefD22_18x_0" localSheetId="50">'301'!$D$80:$D$85</definedName>
    <definedName name="OSRRefD22_18x_0" localSheetId="70">'310 &amp; 491'!$D$100</definedName>
    <definedName name="OSRRefD22_18x_0" localSheetId="56">'331'!$D$107</definedName>
    <definedName name="OSRRefD22_18x_0" localSheetId="71">'491'!$D$97</definedName>
    <definedName name="OSRRefD22_18x_0" localSheetId="39">'Div 2'!$D$89</definedName>
    <definedName name="OSRRefD22_18x_0" localSheetId="47">'Div 3'!$D$119:$D$122</definedName>
    <definedName name="OSRRefD22_18x_0" localSheetId="69">'Div 4'!$D$90:$D$99</definedName>
    <definedName name="OSRRefD22_18x_0" localSheetId="2">Summary!$D$124:$D$127</definedName>
    <definedName name="OSRRefD22_19x_0" localSheetId="48">'300'!$D$122:$D$123</definedName>
    <definedName name="OSRRefD22_19x_0" localSheetId="49">'300 &amp; 317'!$D$128:$D$129</definedName>
    <definedName name="OSRRefD22_19x_0" localSheetId="50">'301'!$D$87</definedName>
    <definedName name="OSRRefD22_19x_0" localSheetId="70">'310 &amp; 491'!$D$102</definedName>
    <definedName name="OSRRefD22_19x_0" localSheetId="56">'331'!$D$109:$D$110</definedName>
    <definedName name="OSRRefD22_19x_0" localSheetId="71">'491'!$D$99</definedName>
    <definedName name="OSRRefD22_19x_0" localSheetId="39">'Div 2'!$D$91</definedName>
    <definedName name="OSRRefD22_19x_0" localSheetId="47">'Div 3'!$D$124:$D$127</definedName>
    <definedName name="OSRRefD22_19x_0" localSheetId="69">'Div 4'!$D$101:$D$102</definedName>
    <definedName name="OSRRefD22_19x_0" localSheetId="2">Summary!$D$129:$D$132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'204'!$D$30:$D$39</definedName>
    <definedName name="OSRRefD22_1x_0" localSheetId="45">'205'!$D$30:$D$39</definedName>
    <definedName name="OSRRefD22_1x_0" localSheetId="46">'206'!$D$30:$D$39</definedName>
    <definedName name="OSRRefD22_1x_0" localSheetId="48">'300'!$D$65:$D$74</definedName>
    <definedName name="OSRRefD22_1x_0" localSheetId="49">'300 &amp; 317'!$D$71:$D$80</definedName>
    <definedName name="OSRRefD22_1x_0" localSheetId="50">'301'!$D$32:$D$41</definedName>
    <definedName name="OSRRefD22_1x_0" localSheetId="52">'307'!$D$43:$D$52</definedName>
    <definedName name="OSRRefD22_1x_0" localSheetId="53">'308'!$D$46:$D$55</definedName>
    <definedName name="OSRRefD22_1x_0" localSheetId="64">'309'!$D$22</definedName>
    <definedName name="OSRRefD22_1x_0" localSheetId="63">'310'!$D$37:$D$46</definedName>
    <definedName name="OSRRefD22_1x_0" localSheetId="70">'310 &amp; 491'!$D$39:$D$48</definedName>
    <definedName name="OSRRefD22_1x_0" localSheetId="54">'311'!$D$46:$D$55</definedName>
    <definedName name="OSRRefD22_1x_0" localSheetId="57">'315'!$D$54:$D$63</definedName>
    <definedName name="OSRRefD22_1x_0" localSheetId="60">'316'!$D$36:$D$45</definedName>
    <definedName name="OSRRefD22_1x_0" localSheetId="62">'317'!$D$46:$D$55</definedName>
    <definedName name="OSRRefD22_1x_0" localSheetId="65">'321'!$D$33:$D$42</definedName>
    <definedName name="OSRRefD22_1x_0" localSheetId="67">'325'!$D$35:$D$44</definedName>
    <definedName name="OSRRefD22_1x_0" localSheetId="58">'326'!$D$38:$D$47</definedName>
    <definedName name="OSRRefD22_1x_0" localSheetId="51">'330'!$D$43:$D$52</definedName>
    <definedName name="OSRRefD22_1x_0" localSheetId="56">'331'!$D$54:$D$63</definedName>
    <definedName name="OSRRefD22_1x_0" localSheetId="59">'332'!$D$36:$D$45</definedName>
    <definedName name="OSRRefD22_1x_0" localSheetId="72">'405'!$D$37:$D$46</definedName>
    <definedName name="OSRRefD22_1x_0" localSheetId="73">'406'!$D$22</definedName>
    <definedName name="OSRRefD22_1x_0" localSheetId="74">'411'!$D$30:$D$39</definedName>
    <definedName name="OSRRefD22_1x_0" localSheetId="75">'412'!$D$22</definedName>
    <definedName name="OSRRefD22_1x_0" localSheetId="76">'413'!$D$22</definedName>
    <definedName name="OSRRefD22_1x_0" localSheetId="77">'414'!$D$22</definedName>
    <definedName name="OSRRefD22_1x_0" localSheetId="78">'415'!$D$37:$D$46</definedName>
    <definedName name="OSRRefD22_1x_0" localSheetId="79">'418'!$D$34:$D$43</definedName>
    <definedName name="OSRRefD22_1x_0" localSheetId="80">'423'!$D$29:$D$38</definedName>
    <definedName name="OSRRefD22_1x_0" localSheetId="81">'424'!$D$22</definedName>
    <definedName name="OSRRefD22_1x_0" localSheetId="82">'425'!$D$24</definedName>
    <definedName name="OSRRefD22_1x_0" localSheetId="84">'430'!$D$30:$D$39</definedName>
    <definedName name="OSRRefD22_1x_0" localSheetId="85">'433'!$D$38:$D$47</definedName>
    <definedName name="OSRRefD22_1x_0" localSheetId="86">'444'!$D$38:$D$47</definedName>
    <definedName name="OSRRefD22_1x_0" localSheetId="87">'450'!$D$38:$D$47</definedName>
    <definedName name="OSRRefD22_1x_0" localSheetId="71">'491'!$D$38:$D$47</definedName>
    <definedName name="OSRRefD22_1x_0" localSheetId="83">'492'!$D$38:$D$47</definedName>
    <definedName name="OSRRefD22_1x_0" localSheetId="89">'501'!$D$32:$D$41</definedName>
    <definedName name="OSRRefD22_1x_0" localSheetId="39">'Div 2'!$D$32:$D$41</definedName>
    <definedName name="OSRRefD22_1x_0" localSheetId="47">'Div 3'!$D$69:$D$78</definedName>
    <definedName name="OSRRefD22_1x_0" localSheetId="69">'Div 4'!$D$40:$D$49</definedName>
    <definedName name="OSRRefD22_1x_0" localSheetId="88">'Div 5'!$D$32:$D$41</definedName>
    <definedName name="OSRRefD22_1x_0" localSheetId="61">'Div 6'!$D$46:$D$55</definedName>
    <definedName name="OSRRefD22_1x_0" localSheetId="2">Summary!$D$77:$D$86</definedName>
    <definedName name="OSRRefD22_20x_0" localSheetId="48">'300'!$D$125:$D$131</definedName>
    <definedName name="OSRRefD22_20x_0" localSheetId="49">'300 &amp; 317'!$D$131:$D$137</definedName>
    <definedName name="OSRRefD22_20x_0" localSheetId="50">'301'!$D$89</definedName>
    <definedName name="OSRRefD22_20x_0" localSheetId="56">'331'!$D$112</definedName>
    <definedName name="OSRRefD22_20x_0" localSheetId="47">'Div 3'!$D$129:$D$130</definedName>
    <definedName name="OSRRefD22_20x_0" localSheetId="69">'Div 4'!$D$104</definedName>
    <definedName name="OSRRefD22_20x_0" localSheetId="2">Summary!$D$134:$D$138</definedName>
    <definedName name="OSRRefD22_21x_0" localSheetId="48">'300'!$D$133:$D$134</definedName>
    <definedName name="OSRRefD22_21x_0" localSheetId="49">'300 &amp; 317'!$D$139:$D$140</definedName>
    <definedName name="OSRRefD22_21x_0" localSheetId="50">'301'!$D$91:$D$92</definedName>
    <definedName name="OSRRefD22_21x_0" localSheetId="47">'Div 3'!$D$132:$D$138</definedName>
    <definedName name="OSRRefD22_21x_0" localSheetId="69">'Div 4'!$D$106:$D$107</definedName>
    <definedName name="OSRRefD22_21x_0" localSheetId="2">Summary!$D$140:$D$141</definedName>
    <definedName name="OSRRefD22_22x_0" localSheetId="48">'300'!$D$136</definedName>
    <definedName name="OSRRefD22_22x_0" localSheetId="49">'300 &amp; 317'!$D$142</definedName>
    <definedName name="OSRRefD22_22x_0" localSheetId="50">'301'!$D$94</definedName>
    <definedName name="OSRRefD22_22x_0" localSheetId="47">'Div 3'!$D$140:$D$141</definedName>
    <definedName name="OSRRefD22_22x_0" localSheetId="69">'Div 4'!$D$109</definedName>
    <definedName name="OSRRefD22_22x_0" localSheetId="2">Summary!$D$143:$D$152</definedName>
    <definedName name="OSRRefD22_23x_0" localSheetId="48">'300'!$D$138:$D$140</definedName>
    <definedName name="OSRRefD22_23x_0" localSheetId="49">'300 &amp; 317'!$D$144:$D$146</definedName>
    <definedName name="OSRRefD22_23x_0" localSheetId="47">'Div 3'!$D$143</definedName>
    <definedName name="OSRRefD22_23x_0" localSheetId="2">Summary!$D$154:$D$155</definedName>
    <definedName name="OSRRefD22_24x_0" localSheetId="48">'300'!$D$142</definedName>
    <definedName name="OSRRefD22_24x_0" localSheetId="49">'300 &amp; 317'!$D$148</definedName>
    <definedName name="OSRRefD22_24x_0" localSheetId="47">'Div 3'!$D$145:$D$147</definedName>
    <definedName name="OSRRefD22_24x_0" localSheetId="2">Summary!$D$157</definedName>
    <definedName name="OSRRefD22_25x_0" localSheetId="47">'Div 3'!$D$149</definedName>
    <definedName name="OSRRefD22_25x_0" localSheetId="2">Summary!$D$159:$D$161</definedName>
    <definedName name="OSRRefD22_26x_0" localSheetId="2">Summary!$D$163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'204'!$D$41</definedName>
    <definedName name="OSRRefD22_2x_0" localSheetId="45">'205'!$D$41</definedName>
    <definedName name="OSRRefD22_2x_0" localSheetId="46">'206'!$D$41</definedName>
    <definedName name="OSRRefD22_2x_0" localSheetId="48">'300'!$D$76</definedName>
    <definedName name="OSRRefD22_2x_0" localSheetId="49">'300 &amp; 317'!$D$82</definedName>
    <definedName name="OSRRefD22_2x_0" localSheetId="50">'301'!$D$43</definedName>
    <definedName name="OSRRefD22_2x_0" localSheetId="52">'307'!$D$54</definedName>
    <definedName name="OSRRefD22_2x_0" localSheetId="53">'308'!$D$57</definedName>
    <definedName name="OSRRefD22_2x_0" localSheetId="64">'309'!$D$24:$D$25</definedName>
    <definedName name="OSRRefD22_2x_0" localSheetId="63">'310'!$D$48</definedName>
    <definedName name="OSRRefD22_2x_0" localSheetId="70">'310 &amp; 491'!$D$50</definedName>
    <definedName name="OSRRefD22_2x_0" localSheetId="54">'311'!$D$57</definedName>
    <definedName name="OSRRefD22_2x_0" localSheetId="57">'315'!$D$65</definedName>
    <definedName name="OSRRefD22_2x_0" localSheetId="60">'316'!$D$47</definedName>
    <definedName name="OSRRefD22_2x_0" localSheetId="62">'317'!$D$57</definedName>
    <definedName name="OSRRefD22_2x_0" localSheetId="65">'321'!$D$44</definedName>
    <definedName name="OSRRefD22_2x_0" localSheetId="67">'325'!$D$46</definedName>
    <definedName name="OSRRefD22_2x_0" localSheetId="58">'326'!$D$49</definedName>
    <definedName name="OSRRefD22_2x_0" localSheetId="51">'330'!$D$54</definedName>
    <definedName name="OSRRefD22_2x_0" localSheetId="56">'331'!$D$65</definedName>
    <definedName name="OSRRefD22_2x_0" localSheetId="59">'332'!$D$47</definedName>
    <definedName name="OSRRefD22_2x_0" localSheetId="72">'405'!$D$48</definedName>
    <definedName name="OSRRefD22_2x_0" localSheetId="74">'411'!$D$41</definedName>
    <definedName name="OSRRefD22_2x_0" localSheetId="75">'412'!$D$24</definedName>
    <definedName name="OSRRefD22_2x_0" localSheetId="76">'413'!$D$24</definedName>
    <definedName name="OSRRefD22_2x_0" localSheetId="78">'415'!$D$48</definedName>
    <definedName name="OSRRefD22_2x_0" localSheetId="79">'418'!$D$45</definedName>
    <definedName name="OSRRefD22_2x_0" localSheetId="80">'423'!$D$40</definedName>
    <definedName name="OSRRefD22_2x_0" localSheetId="82">'425'!$D$26</definedName>
    <definedName name="OSRRefD22_2x_0" localSheetId="84">'430'!$D$41</definedName>
    <definedName name="OSRRefD22_2x_0" localSheetId="85">'433'!$D$49</definedName>
    <definedName name="OSRRefD22_2x_0" localSheetId="86">'444'!$D$49</definedName>
    <definedName name="OSRRefD22_2x_0" localSheetId="87">'450'!$D$49</definedName>
    <definedName name="OSRRefD22_2x_0" localSheetId="71">'491'!$D$49</definedName>
    <definedName name="OSRRefD22_2x_0" localSheetId="83">'492'!$D$49</definedName>
    <definedName name="OSRRefD22_2x_0" localSheetId="89">'501'!$D$43</definedName>
    <definedName name="OSRRefD22_2x_0" localSheetId="39">'Div 2'!$D$43</definedName>
    <definedName name="OSRRefD22_2x_0" localSheetId="47">'Div 3'!$D$80</definedName>
    <definedName name="OSRRefD22_2x_0" localSheetId="69">'Div 4'!$D$51</definedName>
    <definedName name="OSRRefD22_2x_0" localSheetId="88">'Div 5'!$D$43</definedName>
    <definedName name="OSRRefD22_2x_0" localSheetId="61">'Div 6'!$D$57</definedName>
    <definedName name="OSRRefD22_2x_0" localSheetId="2">Summary!$D$88</definedName>
    <definedName name="OSRRefD22_3x_0" localSheetId="40">'200'!$D$26:$D$27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'204'!$D$43:$D$44</definedName>
    <definedName name="OSRRefD22_3x_0" localSheetId="45">'205'!$D$43</definedName>
    <definedName name="OSRRefD22_3x_0" localSheetId="46">'206'!$D$43</definedName>
    <definedName name="OSRRefD22_3x_0" localSheetId="48">'300'!$D$78</definedName>
    <definedName name="OSRRefD22_3x_0" localSheetId="49">'300 &amp; 317'!$D$84</definedName>
    <definedName name="OSRRefD22_3x_0" localSheetId="50">'301'!$D$45</definedName>
    <definedName name="OSRRefD22_3x_0" localSheetId="52">'307'!$D$56</definedName>
    <definedName name="OSRRefD22_3x_0" localSheetId="53">'308'!$D$59</definedName>
    <definedName name="OSRRefD22_3x_0" localSheetId="64">'309'!$D$27</definedName>
    <definedName name="OSRRefD22_3x_0" localSheetId="63">'310'!$D$50</definedName>
    <definedName name="OSRRefD22_3x_0" localSheetId="70">'310 &amp; 491'!$D$52</definedName>
    <definedName name="OSRRefD22_3x_0" localSheetId="54">'311'!$D$59</definedName>
    <definedName name="OSRRefD22_3x_0" localSheetId="57">'315'!$D$67</definedName>
    <definedName name="OSRRefD22_3x_0" localSheetId="60">'316'!$D$49</definedName>
    <definedName name="OSRRefD22_3x_0" localSheetId="62">'317'!$D$59</definedName>
    <definedName name="OSRRefD22_3x_0" localSheetId="65">'321'!$D$46</definedName>
    <definedName name="OSRRefD22_3x_0" localSheetId="67">'325'!$D$48</definedName>
    <definedName name="OSRRefD22_3x_0" localSheetId="58">'326'!$D$51</definedName>
    <definedName name="OSRRefD22_3x_0" localSheetId="51">'330'!$D$56</definedName>
    <definedName name="OSRRefD22_3x_0" localSheetId="56">'331'!$D$67</definedName>
    <definedName name="OSRRefD22_3x_0" localSheetId="59">'332'!$D$49</definedName>
    <definedName name="OSRRefD22_3x_0" localSheetId="72">'405'!$D$50</definedName>
    <definedName name="OSRRefD22_3x_0" localSheetId="74">'411'!$D$43:$D$44</definedName>
    <definedName name="OSRRefD22_3x_0" localSheetId="75">'412'!$D$26</definedName>
    <definedName name="OSRRefD22_3x_0" localSheetId="78">'415'!$D$50</definedName>
    <definedName name="OSRRefD22_3x_0" localSheetId="79">'418'!$D$47</definedName>
    <definedName name="OSRRefD22_3x_0" localSheetId="80">'423'!$D$42</definedName>
    <definedName name="OSRRefD22_3x_0" localSheetId="82">'425'!$D$28</definedName>
    <definedName name="OSRRefD22_3x_0" localSheetId="84">'430'!$D$43</definedName>
    <definedName name="OSRRefD22_3x_0" localSheetId="85">'433'!$D$51</definedName>
    <definedName name="OSRRefD22_3x_0" localSheetId="86">'444'!$D$51</definedName>
    <definedName name="OSRRefD22_3x_0" localSheetId="87">'450'!$D$51</definedName>
    <definedName name="OSRRefD22_3x_0" localSheetId="71">'491'!$D$51</definedName>
    <definedName name="OSRRefD22_3x_0" localSheetId="83">'492'!$D$51</definedName>
    <definedName name="OSRRefD22_3x_0" localSheetId="89">'501'!$D$45</definedName>
    <definedName name="OSRRefD22_3x_0" localSheetId="39">'Div 2'!$D$45</definedName>
    <definedName name="OSRRefD22_3x_0" localSheetId="47">'Div 3'!$D$82</definedName>
    <definedName name="OSRRefD22_3x_0" localSheetId="69">'Div 4'!$D$53</definedName>
    <definedName name="OSRRefD22_3x_0" localSheetId="88">'Div 5'!$D$45</definedName>
    <definedName name="OSRRefD22_3x_0" localSheetId="61">'Div 6'!$D$59</definedName>
    <definedName name="OSRRefD22_3x_0" localSheetId="2">Summary!$D$90</definedName>
    <definedName name="OSRRefD22_4x_0" localSheetId="41">'201'!$D$45</definedName>
    <definedName name="OSRRefD22_4x_0" localSheetId="42">'202'!$D$45</definedName>
    <definedName name="OSRRefD22_4x_0" localSheetId="43">'203'!$D$46</definedName>
    <definedName name="OSRRefD22_4x_0" localSheetId="44">'204'!$D$46</definedName>
    <definedName name="OSRRefD22_4x_0" localSheetId="45">'205'!$D$45:$D$46</definedName>
    <definedName name="OSRRefD22_4x_0" localSheetId="46">'206'!$D$45:$D$46</definedName>
    <definedName name="OSRRefD22_4x_0" localSheetId="48">'300'!$D$80</definedName>
    <definedName name="OSRRefD22_4x_0" localSheetId="49">'300 &amp; 317'!$D$86</definedName>
    <definedName name="OSRRefD22_4x_0" localSheetId="50">'301'!$D$47</definedName>
    <definedName name="OSRRefD22_4x_0" localSheetId="52">'307'!$D$58</definedName>
    <definedName name="OSRRefD22_4x_0" localSheetId="53">'308'!$D$61</definedName>
    <definedName name="OSRRefD22_4x_0" localSheetId="63">'310'!$D$52</definedName>
    <definedName name="OSRRefD22_4x_0" localSheetId="70">'310 &amp; 491'!$D$54</definedName>
    <definedName name="OSRRefD22_4x_0" localSheetId="54">'311'!$D$61</definedName>
    <definedName name="OSRRefD22_4x_0" localSheetId="57">'315'!$D$69</definedName>
    <definedName name="OSRRefD22_4x_0" localSheetId="60">'316'!$D$51</definedName>
    <definedName name="OSRRefD22_4x_0" localSheetId="62">'317'!$D$61</definedName>
    <definedName name="OSRRefD22_4x_0" localSheetId="65">'321'!$D$48</definedName>
    <definedName name="OSRRefD22_4x_0" localSheetId="67">'325'!$D$50</definedName>
    <definedName name="OSRRefD22_4x_0" localSheetId="58">'326'!$D$53</definedName>
    <definedName name="OSRRefD22_4x_0" localSheetId="51">'330'!$D$58</definedName>
    <definedName name="OSRRefD22_4x_0" localSheetId="56">'331'!$D$69</definedName>
    <definedName name="OSRRefD22_4x_0" localSheetId="59">'332'!$D$51</definedName>
    <definedName name="OSRRefD22_4x_0" localSheetId="72">'405'!$D$52</definedName>
    <definedName name="OSRRefD22_4x_0" localSheetId="74">'411'!$D$46</definedName>
    <definedName name="OSRRefD22_4x_0" localSheetId="78">'415'!$D$52</definedName>
    <definedName name="OSRRefD22_4x_0" localSheetId="79">'418'!$D$49:$D$50</definedName>
    <definedName name="OSRRefD22_4x_0" localSheetId="80">'423'!$D$44</definedName>
    <definedName name="OSRRefD22_4x_0" localSheetId="82">'425'!$D$30</definedName>
    <definedName name="OSRRefD22_4x_0" localSheetId="84">'430'!$D$45</definedName>
    <definedName name="OSRRefD22_4x_0" localSheetId="85">'433'!$D$53</definedName>
    <definedName name="OSRRefD22_4x_0" localSheetId="86">'444'!$D$53</definedName>
    <definedName name="OSRRefD22_4x_0" localSheetId="87">'450'!$D$53</definedName>
    <definedName name="OSRRefD22_4x_0" localSheetId="71">'491'!$D$53</definedName>
    <definedName name="OSRRefD22_4x_0" localSheetId="83">'492'!$D$53</definedName>
    <definedName name="OSRRefD22_4x_0" localSheetId="89">'501'!$D$47</definedName>
    <definedName name="OSRRefD22_4x_0" localSheetId="39">'Div 2'!$D$47</definedName>
    <definedName name="OSRRefD22_4x_0" localSheetId="47">'Div 3'!$D$84</definedName>
    <definedName name="OSRRefD22_4x_0" localSheetId="69">'Div 4'!$D$55</definedName>
    <definedName name="OSRRefD22_4x_0" localSheetId="88">'Div 5'!$D$47</definedName>
    <definedName name="OSRRefD22_4x_0" localSheetId="61">'Div 6'!$D$61</definedName>
    <definedName name="OSRRefD22_4x_0" localSheetId="2">Summary!$D$92</definedName>
    <definedName name="OSRRefD22_5x_0" localSheetId="41">'201'!$D$47</definedName>
    <definedName name="OSRRefD22_5x_0" localSheetId="42">'202'!$D$47</definedName>
    <definedName name="OSRRefD22_5x_0" localSheetId="43">'203'!$D$48</definedName>
    <definedName name="OSRRefD22_5x_0" localSheetId="44">'204'!$D$48:$D$51</definedName>
    <definedName name="OSRRefD22_5x_0" localSheetId="45">'205'!$D$48</definedName>
    <definedName name="OSRRefD22_5x_0" localSheetId="46">'206'!$D$48</definedName>
    <definedName name="OSRRefD22_5x_0" localSheetId="48">'300'!$D$82:$D$83</definedName>
    <definedName name="OSRRefD22_5x_0" localSheetId="49">'300 &amp; 317'!$D$88:$D$89</definedName>
    <definedName name="OSRRefD22_5x_0" localSheetId="50">'301'!$D$49:$D$50</definedName>
    <definedName name="OSRRefD22_5x_0" localSheetId="52">'307'!$D$60:$D$61</definedName>
    <definedName name="OSRRefD22_5x_0" localSheetId="53">'308'!$D$63</definedName>
    <definedName name="OSRRefD22_5x_0" localSheetId="63">'310'!$D$54:$D$55</definedName>
    <definedName name="OSRRefD22_5x_0" localSheetId="70">'310 &amp; 491'!$D$56:$D$57</definedName>
    <definedName name="OSRRefD22_5x_0" localSheetId="54">'311'!$D$63</definedName>
    <definedName name="OSRRefD22_5x_0" localSheetId="57">'315'!$D$71</definedName>
    <definedName name="OSRRefD22_5x_0" localSheetId="60">'316'!$D$53:$D$54</definedName>
    <definedName name="OSRRefD22_5x_0" localSheetId="62">'317'!$D$63</definedName>
    <definedName name="OSRRefD22_5x_0" localSheetId="65">'321'!$D$50</definedName>
    <definedName name="OSRRefD22_5x_0" localSheetId="67">'325'!$D$52:$D$53</definedName>
    <definedName name="OSRRefD22_5x_0" localSheetId="58">'326'!$D$55</definedName>
    <definedName name="OSRRefD22_5x_0" localSheetId="51">'330'!$D$60:$D$61</definedName>
    <definedName name="OSRRefD22_5x_0" localSheetId="56">'331'!$D$71</definedName>
    <definedName name="OSRRefD22_5x_0" localSheetId="59">'332'!$D$53:$D$54</definedName>
    <definedName name="OSRRefD22_5x_0" localSheetId="72">'405'!$D$54:$D$55</definedName>
    <definedName name="OSRRefD22_5x_0" localSheetId="74">'411'!$D$48</definedName>
    <definedName name="OSRRefD22_5x_0" localSheetId="78">'415'!$D$54:$D$55</definedName>
    <definedName name="OSRRefD22_5x_0" localSheetId="79">'418'!$D$52</definedName>
    <definedName name="OSRRefD22_5x_0" localSheetId="80">'423'!$D$46</definedName>
    <definedName name="OSRRefD22_5x_0" localSheetId="82">'425'!$D$32</definedName>
    <definedName name="OSRRefD22_5x_0" localSheetId="84">'430'!$D$47:$D$48</definedName>
    <definedName name="OSRRefD22_5x_0" localSheetId="85">'433'!$D$55</definedName>
    <definedName name="OSRRefD22_5x_0" localSheetId="86">'444'!$D$55</definedName>
    <definedName name="OSRRefD22_5x_0" localSheetId="87">'450'!$D$55</definedName>
    <definedName name="OSRRefD22_5x_0" localSheetId="71">'491'!$D$55:$D$56</definedName>
    <definedName name="OSRRefD22_5x_0" localSheetId="83">'492'!$D$55</definedName>
    <definedName name="OSRRefD22_5x_0" localSheetId="89">'501'!$D$49:$D$50</definedName>
    <definedName name="OSRRefD22_5x_0" localSheetId="39">'Div 2'!$D$49:$D$50</definedName>
    <definedName name="OSRRefD22_5x_0" localSheetId="47">'Div 3'!$D$86:$D$87</definedName>
    <definedName name="OSRRefD22_5x_0" localSheetId="69">'Div 4'!$D$57:$D$58</definedName>
    <definedName name="OSRRefD22_5x_0" localSheetId="88">'Div 5'!$D$49:$D$50</definedName>
    <definedName name="OSRRefD22_5x_0" localSheetId="61">'Div 6'!$D$63</definedName>
    <definedName name="OSRRefD22_5x_0" localSheetId="2">Summary!$D$94:$D$95</definedName>
    <definedName name="OSRRefD22_6x_0" localSheetId="41">'201'!$D$49</definedName>
    <definedName name="OSRRefD22_6x_0" localSheetId="42">'202'!$D$49:$D$51</definedName>
    <definedName name="OSRRefD22_6x_0" localSheetId="43">'203'!$D$50</definedName>
    <definedName name="OSRRefD22_6x_0" localSheetId="44">'204'!$D$53</definedName>
    <definedName name="OSRRefD22_6x_0" localSheetId="45">'205'!$D$50:$D$52</definedName>
    <definedName name="OSRRefD22_6x_0" localSheetId="46">'206'!$D$50:$D$51</definedName>
    <definedName name="OSRRefD22_6x_0" localSheetId="48">'300'!$D$85:$D$86</definedName>
    <definedName name="OSRRefD22_6x_0" localSheetId="49">'300 &amp; 317'!$D$91:$D$92</definedName>
    <definedName name="OSRRefD22_6x_0" localSheetId="50">'301'!$D$52</definedName>
    <definedName name="OSRRefD22_6x_0" localSheetId="52">'307'!$D$63</definedName>
    <definedName name="OSRRefD22_6x_0" localSheetId="53">'308'!$D$65</definedName>
    <definedName name="OSRRefD22_6x_0" localSheetId="63">'310'!$D$57</definedName>
    <definedName name="OSRRefD22_6x_0" localSheetId="70">'310 &amp; 491'!$D$59</definedName>
    <definedName name="OSRRefD22_6x_0" localSheetId="54">'311'!$D$65</definedName>
    <definedName name="OSRRefD22_6x_0" localSheetId="57">'315'!$D$73</definedName>
    <definedName name="OSRRefD22_6x_0" localSheetId="60">'316'!$D$56</definedName>
    <definedName name="OSRRefD22_6x_0" localSheetId="62">'317'!$D$65</definedName>
    <definedName name="OSRRefD22_6x_0" localSheetId="65">'321'!$D$52:$D$53</definedName>
    <definedName name="OSRRefD22_6x_0" localSheetId="67">'325'!$D$55</definedName>
    <definedName name="OSRRefD22_6x_0" localSheetId="58">'326'!$D$57</definedName>
    <definedName name="OSRRefD22_6x_0" localSheetId="51">'330'!$D$63</definedName>
    <definedName name="OSRRefD22_6x_0" localSheetId="56">'331'!$D$73</definedName>
    <definedName name="OSRRefD22_6x_0" localSheetId="59">'332'!$D$56</definedName>
    <definedName name="OSRRefD22_6x_0" localSheetId="72">'405'!$D$57</definedName>
    <definedName name="OSRRefD22_6x_0" localSheetId="74">'411'!$D$50</definedName>
    <definedName name="OSRRefD22_6x_0" localSheetId="78">'415'!$D$57</definedName>
    <definedName name="OSRRefD22_6x_0" localSheetId="79">'418'!$D$54</definedName>
    <definedName name="OSRRefD22_6x_0" localSheetId="84">'430'!$D$50:$D$51</definedName>
    <definedName name="OSRRefD22_6x_0" localSheetId="85">'433'!$D$57</definedName>
    <definedName name="OSRRefD22_6x_0" localSheetId="86">'444'!$D$57</definedName>
    <definedName name="OSRRefD22_6x_0" localSheetId="87">'450'!$D$57</definedName>
    <definedName name="OSRRefD22_6x_0" localSheetId="71">'491'!$D$58</definedName>
    <definedName name="OSRRefD22_6x_0" localSheetId="83">'492'!$D$57</definedName>
    <definedName name="OSRRefD22_6x_0" localSheetId="89">'501'!$D$52</definedName>
    <definedName name="OSRRefD22_6x_0" localSheetId="39">'Div 2'!$D$52</definedName>
    <definedName name="OSRRefD22_6x_0" localSheetId="47">'Div 3'!$D$89:$D$90</definedName>
    <definedName name="OSRRefD22_6x_0" localSheetId="69">'Div 4'!$D$60</definedName>
    <definedName name="OSRRefD22_6x_0" localSheetId="88">'Div 5'!$D$52</definedName>
    <definedName name="OSRRefD22_6x_0" localSheetId="61">'Div 6'!$D$65</definedName>
    <definedName name="OSRRefD22_6x_0" localSheetId="2">Summary!$D$97:$D$98</definedName>
    <definedName name="OSRRefD22_7x_0" localSheetId="41">'201'!$D$51</definedName>
    <definedName name="OSRRefD22_7x_0" localSheetId="42">'202'!$D$53</definedName>
    <definedName name="OSRRefD22_7x_0" localSheetId="43">'203'!$D$52</definedName>
    <definedName name="OSRRefD22_7x_0" localSheetId="44">'204'!$D$55:$D$56</definedName>
    <definedName name="OSRRefD22_7x_0" localSheetId="45">'205'!$D$54</definedName>
    <definedName name="OSRRefD22_7x_0" localSheetId="46">'206'!$D$53</definedName>
    <definedName name="OSRRefD22_7x_0" localSheetId="48">'300'!$D$88</definedName>
    <definedName name="OSRRefD22_7x_0" localSheetId="49">'300 &amp; 317'!$D$94</definedName>
    <definedName name="OSRRefD22_7x_0" localSheetId="50">'301'!$D$54</definedName>
    <definedName name="OSRRefD22_7x_0" localSheetId="52">'307'!$D$65</definedName>
    <definedName name="OSRRefD22_7x_0" localSheetId="53">'308'!$D$67</definedName>
    <definedName name="OSRRefD22_7x_0" localSheetId="63">'310'!$D$59</definedName>
    <definedName name="OSRRefD22_7x_0" localSheetId="70">'310 &amp; 491'!$D$61</definedName>
    <definedName name="OSRRefD22_7x_0" localSheetId="54">'311'!$D$67</definedName>
    <definedName name="OSRRefD22_7x_0" localSheetId="57">'315'!$D$75:$D$76</definedName>
    <definedName name="OSRRefD22_7x_0" localSheetId="60">'316'!$D$58:$D$60</definedName>
    <definedName name="OSRRefD22_7x_0" localSheetId="62">'317'!$D$67</definedName>
    <definedName name="OSRRefD22_7x_0" localSheetId="65">'321'!$D$55</definedName>
    <definedName name="OSRRefD22_7x_0" localSheetId="67">'325'!$D$57</definedName>
    <definedName name="OSRRefD22_7x_0" localSheetId="58">'326'!$D$59</definedName>
    <definedName name="OSRRefD22_7x_0" localSheetId="51">'330'!$D$65</definedName>
    <definedName name="OSRRefD22_7x_0" localSheetId="56">'331'!$D$75:$D$76</definedName>
    <definedName name="OSRRefD22_7x_0" localSheetId="59">'332'!$D$58:$D$60</definedName>
    <definedName name="OSRRefD22_7x_0" localSheetId="72">'405'!$D$59</definedName>
    <definedName name="OSRRefD22_7x_0" localSheetId="74">'411'!$D$52</definedName>
    <definedName name="OSRRefD22_7x_0" localSheetId="78">'415'!$D$59</definedName>
    <definedName name="OSRRefD22_7x_0" localSheetId="79">'418'!$D$56</definedName>
    <definedName name="OSRRefD22_7x_0" localSheetId="84">'430'!$D$53</definedName>
    <definedName name="OSRRefD22_7x_0" localSheetId="85">'433'!$D$59</definedName>
    <definedName name="OSRRefD22_7x_0" localSheetId="86">'444'!$D$59</definedName>
    <definedName name="OSRRefD22_7x_0" localSheetId="87">'450'!$D$59</definedName>
    <definedName name="OSRRefD22_7x_0" localSheetId="71">'491'!$D$60</definedName>
    <definedName name="OSRRefD22_7x_0" localSheetId="83">'492'!$D$59</definedName>
    <definedName name="OSRRefD22_7x_0" localSheetId="89">'501'!$D$54</definedName>
    <definedName name="OSRRefD22_7x_0" localSheetId="39">'Div 2'!$D$54</definedName>
    <definedName name="OSRRefD22_7x_0" localSheetId="47">'Div 3'!$D$92</definedName>
    <definedName name="OSRRefD22_7x_0" localSheetId="69">'Div 4'!$D$62</definedName>
    <definedName name="OSRRefD22_7x_0" localSheetId="88">'Div 5'!$D$54</definedName>
    <definedName name="OSRRefD22_7x_0" localSheetId="61">'Div 6'!$D$67</definedName>
    <definedName name="OSRRefD22_7x_0" localSheetId="2">Summary!$D$100</definedName>
    <definedName name="OSRRefD22_8x_0" localSheetId="41">'201'!$D$53:$D$54</definedName>
    <definedName name="OSRRefD22_8x_0" localSheetId="42">'202'!$D$55</definedName>
    <definedName name="OSRRefD22_8x_0" localSheetId="43">'203'!$D$54:$D$56</definedName>
    <definedName name="OSRRefD22_8x_0" localSheetId="48">'300'!$D$90</definedName>
    <definedName name="OSRRefD22_8x_0" localSheetId="49">'300 &amp; 317'!$D$96</definedName>
    <definedName name="OSRRefD22_8x_0" localSheetId="50">'301'!$D$56</definedName>
    <definedName name="OSRRefD22_8x_0" localSheetId="52">'307'!$D$67</definedName>
    <definedName name="OSRRefD22_8x_0" localSheetId="53">'308'!$D$69:$D$71</definedName>
    <definedName name="OSRRefD22_8x_0" localSheetId="63">'310'!$D$61</definedName>
    <definedName name="OSRRefD22_8x_0" localSheetId="70">'310 &amp; 491'!$D$63</definedName>
    <definedName name="OSRRefD22_8x_0" localSheetId="54">'311'!$D$69:$D$71</definedName>
    <definedName name="OSRRefD22_8x_0" localSheetId="57">'315'!$D$78</definedName>
    <definedName name="OSRRefD22_8x_0" localSheetId="60">'316'!$D$62</definedName>
    <definedName name="OSRRefD22_8x_0" localSheetId="62">'317'!$D$69:$D$70</definedName>
    <definedName name="OSRRefD22_8x_0" localSheetId="65">'321'!$D$57:$D$58</definedName>
    <definedName name="OSRRefD22_8x_0" localSheetId="67">'325'!$D$59</definedName>
    <definedName name="OSRRefD22_8x_0" localSheetId="58">'326'!$D$61</definedName>
    <definedName name="OSRRefD22_8x_0" localSheetId="51">'330'!$D$67</definedName>
    <definedName name="OSRRefD22_8x_0" localSheetId="56">'331'!$D$78:$D$79</definedName>
    <definedName name="OSRRefD22_8x_0" localSheetId="59">'332'!$D$62</definedName>
    <definedName name="OSRRefD22_8x_0" localSheetId="72">'405'!$D$61</definedName>
    <definedName name="OSRRefD22_8x_0" localSheetId="74">'411'!$D$54:$D$56</definedName>
    <definedName name="OSRRefD22_8x_0" localSheetId="78">'415'!$D$61</definedName>
    <definedName name="OSRRefD22_8x_0" localSheetId="79">'418'!$D$58:$D$59</definedName>
    <definedName name="OSRRefD22_8x_0" localSheetId="84">'430'!$D$55</definedName>
    <definedName name="OSRRefD22_8x_0" localSheetId="85">'433'!$D$61</definedName>
    <definedName name="OSRRefD22_8x_0" localSheetId="86">'444'!$D$61</definedName>
    <definedName name="OSRRefD22_8x_0" localSheetId="87">'450'!$D$61</definedName>
    <definedName name="OSRRefD22_8x_0" localSheetId="71">'491'!$D$62</definedName>
    <definedName name="OSRRefD22_8x_0" localSheetId="83">'492'!$D$61</definedName>
    <definedName name="OSRRefD22_8x_0" localSheetId="89">'501'!$D$56</definedName>
    <definedName name="OSRRefD22_8x_0" localSheetId="39">'Div 2'!$D$56</definedName>
    <definedName name="OSRRefD22_8x_0" localSheetId="47">'Div 3'!$D$94</definedName>
    <definedName name="OSRRefD22_8x_0" localSheetId="69">'Div 4'!$D$64</definedName>
    <definedName name="OSRRefD22_8x_0" localSheetId="88">'Div 5'!$D$56</definedName>
    <definedName name="OSRRefD22_8x_0" localSheetId="61">'Div 6'!$D$69:$D$70</definedName>
    <definedName name="OSRRefD22_8x_0" localSheetId="2">Summary!$D$102</definedName>
    <definedName name="OSRRefD22_9x_0" localSheetId="41">'201'!$D$56:$D$57</definedName>
    <definedName name="OSRRefD22_9x_0" localSheetId="42">'202'!$D$57</definedName>
    <definedName name="OSRRefD22_9x_0" localSheetId="43">'203'!$D$58:$D$59</definedName>
    <definedName name="OSRRefD22_9x_0" localSheetId="48">'300'!$D$92</definedName>
    <definedName name="OSRRefD22_9x_0" localSheetId="49">'300 &amp; 317'!$D$98</definedName>
    <definedName name="OSRRefD22_9x_0" localSheetId="50">'301'!$D$58</definedName>
    <definedName name="OSRRefD22_9x_0" localSheetId="52">'307'!$D$69:$D$70</definedName>
    <definedName name="OSRRefD22_9x_0" localSheetId="53">'308'!$D$73</definedName>
    <definedName name="OSRRefD22_9x_0" localSheetId="63">'310'!$D$63</definedName>
    <definedName name="OSRRefD22_9x_0" localSheetId="70">'310 &amp; 491'!$D$65</definedName>
    <definedName name="OSRRefD22_9x_0" localSheetId="54">'311'!$D$73</definedName>
    <definedName name="OSRRefD22_9x_0" localSheetId="57">'315'!$D$80</definedName>
    <definedName name="OSRRefD22_9x_0" localSheetId="60">'316'!$D$64:$D$67</definedName>
    <definedName name="OSRRefD22_9x_0" localSheetId="62">'317'!$D$72</definedName>
    <definedName name="OSRRefD22_9x_0" localSheetId="65">'321'!$D$60:$D$63</definedName>
    <definedName name="OSRRefD22_9x_0" localSheetId="67">'325'!$D$61</definedName>
    <definedName name="OSRRefD22_9x_0" localSheetId="58">'326'!$D$63</definedName>
    <definedName name="OSRRefD22_9x_0" localSheetId="51">'330'!$D$69:$D$70</definedName>
    <definedName name="OSRRefD22_9x_0" localSheetId="56">'331'!$D$81</definedName>
    <definedName name="OSRRefD22_9x_0" localSheetId="59">'332'!$D$64:$D$67</definedName>
    <definedName name="OSRRefD22_9x_0" localSheetId="72">'405'!$D$63:$D$64</definedName>
    <definedName name="OSRRefD22_9x_0" localSheetId="74">'411'!$D$58:$D$60</definedName>
    <definedName name="OSRRefD22_9x_0" localSheetId="78">'415'!$D$63</definedName>
    <definedName name="OSRRefD22_9x_0" localSheetId="79">'418'!$D$61:$D$64</definedName>
    <definedName name="OSRRefD22_9x_0" localSheetId="85">'433'!$D$63</definedName>
    <definedName name="OSRRefD22_9x_0" localSheetId="86">'444'!$D$63</definedName>
    <definedName name="OSRRefD22_9x_0" localSheetId="87">'450'!$D$63</definedName>
    <definedName name="OSRRefD22_9x_0" localSheetId="71">'491'!$D$64</definedName>
    <definedName name="OSRRefD22_9x_0" localSheetId="83">'492'!$D$63</definedName>
    <definedName name="OSRRefD22_9x_0" localSheetId="89">'501'!$D$58:$D$60</definedName>
    <definedName name="OSRRefD22_9x_0" localSheetId="39">'Div 2'!$D$58</definedName>
    <definedName name="OSRRefD22_9x_0" localSheetId="47">'Div 3'!$D$96</definedName>
    <definedName name="OSRRefD22_9x_0" localSheetId="69">'Div 4'!$D$66</definedName>
    <definedName name="OSRRefD22_9x_0" localSheetId="88">'Div 5'!$D$58:$D$60</definedName>
    <definedName name="OSRRefD22_9x_0" localSheetId="61">'Div 6'!$D$72</definedName>
    <definedName name="OSRRefD22_9x_0" localSheetId="2">Summary!$D$104</definedName>
    <definedName name="OSRRefD22x_0" localSheetId="40">'200'!$D$20,'200'!$D$22,'200'!$D$24,'200'!$D$26:$D$27</definedName>
    <definedName name="OSRRefD22x_0" localSheetId="41">'201'!$D$20:$D$28,'201'!$D$30:$D$39,'201'!$D$41,'201'!$D$43,'201'!$D$45,'201'!$D$47,'201'!$D$49,'201'!$D$51,'201'!$D$53:$D$54,'201'!$D$56:$D$57,'201'!$D$59,'201'!$D$61:$D$62,'201'!$D$64,'201'!$D$66</definedName>
    <definedName name="OSRRefD22x_0" localSheetId="42">'202'!$D$20:$D$28,'202'!$D$30:$D$39,'202'!$D$41,'202'!$D$43,'202'!$D$45,'202'!$D$47,'202'!$D$49:$D$51,'202'!$D$53,'202'!$D$55,'202'!$D$57,'202'!$D$59,'202'!$D$61</definedName>
    <definedName name="OSRRefD22x_0" localSheetId="43">'203'!$D$20:$D$29,'203'!$D$31:$D$40,'203'!$D$42,'203'!$D$44,'203'!$D$46,'203'!$D$48,'203'!$D$50,'203'!$D$52,'203'!$D$54:$D$56,'203'!$D$58:$D$59,'203'!$D$61,'203'!$D$63:$D$66,'203'!$D$68,'203'!$D$70</definedName>
    <definedName name="OSRRefD22x_0" localSheetId="44">'204'!$D$20:$D$28,'204'!$D$30:$D$39,'204'!$D$41,'204'!$D$43:$D$44,'204'!$D$46,'204'!$D$48:$D$51,'204'!$D$53,'204'!$D$55:$D$56</definedName>
    <definedName name="OSRRefD22x_0" localSheetId="45">'205'!$D$20:$D$28,'205'!$D$30:$D$39,'205'!$D$41,'205'!$D$43,'205'!$D$45:$D$46,'205'!$D$48,'205'!$D$50:$D$52,'205'!$D$54</definedName>
    <definedName name="OSRRefD22x_0" localSheetId="46">'206'!$D$20:$D$28,'206'!$D$30:$D$39,'206'!$D$41,'206'!$D$43,'206'!$D$45:$D$46,'206'!$D$48,'206'!$D$50:$D$51,'206'!$D$53</definedName>
    <definedName name="OSRRefD22x_0" localSheetId="48">'300'!$D$54:$D$63,'300'!$D$65:$D$74,'300'!$D$76,'300'!$D$78,'300'!$D$80,'300'!$D$82:$D$83,'300'!$D$85:$D$86,'300'!$D$88,'300'!$D$90,'300'!$D$92,'300'!$D$94:$D$95,'300'!$D$97:$D$98,'300'!$D$100,'300'!$D$102,'300'!$D$104,'300'!$D$106,'300'!$D$108:$D$111,'300'!$D$113:$D$116,'300'!$D$118:$D$120,'300'!$D$122:$D$123,'300'!$D$125:$D$131,'300'!$D$133:$D$134,'300'!$D$136,'300'!$D$138:$D$140,'300'!$D$142</definedName>
    <definedName name="OSRRefD22x_0" localSheetId="49">'300 &amp; 317'!$D$60:$D$69,'300 &amp; 317'!$D$71:$D$80,'300 &amp; 317'!$D$82,'300 &amp; 317'!$D$84,'300 &amp; 317'!$D$86,'300 &amp; 317'!$D$88:$D$89,'300 &amp; 317'!$D$91:$D$92,'300 &amp; 317'!$D$94,'300 &amp; 317'!$D$96,'300 &amp; 317'!$D$98,'300 &amp; 317'!$D$100:$D$101,'300 &amp; 317'!$D$103:$D$104,'300 &amp; 317'!$D$106,'300 &amp; 317'!$D$108,'300 &amp; 317'!$D$110,'300 &amp; 317'!$D$112,'300 &amp; 317'!$D$114:$D$117,'300 &amp; 317'!$D$119:$D$122,'300 &amp; 317'!$D$124:$D$126,'300 &amp; 317'!$D$128:$D$129,'300 &amp; 317'!$D$131:$D$137,'300 &amp; 317'!$D$139:$D$140,'300 &amp; 317'!$D$142,'300 &amp; 317'!$D$144:$D$146,'300 &amp; 317'!$D$148</definedName>
    <definedName name="OSRRefD22x_0" localSheetId="50">'301'!$D$21:$D$30,'301'!$D$32:$D$41,'301'!$D$43,'301'!$D$45,'301'!$D$47,'301'!$D$49:$D$50,'301'!$D$52,'301'!$D$54,'301'!$D$56,'301'!$D$58,'301'!$D$60,'301'!$D$62,'301'!$D$64,'301'!$D$66,'301'!$D$68,'301'!$D$70:$D$73,'301'!$D$75:$D$76,'301'!$D$78,'301'!$D$80:$D$85,'301'!$D$87,'301'!$D$89,'301'!$D$91:$D$92,'301'!$D$94</definedName>
    <definedName name="OSRRefD22x_0" localSheetId="52">'307'!$D$34:$D$41,'307'!$D$43:$D$52,'307'!$D$54,'307'!$D$56,'307'!$D$58,'307'!$D$60:$D$61,'307'!$D$63,'307'!$D$65,'307'!$D$67,'307'!$D$69:$D$70,'307'!$D$72:$D$73,'307'!$D$75:$D$78,'307'!$D$80</definedName>
    <definedName name="OSRRefD22x_0" localSheetId="53">'308'!$D$35:$D$44,'308'!$D$46:$D$55,'308'!$D$57,'308'!$D$59,'308'!$D$61,'308'!$D$63,'308'!$D$65,'308'!$D$67,'308'!$D$69:$D$71,'308'!$D$73,'308'!$D$75:$D$76,'308'!$D$78:$D$79</definedName>
    <definedName name="OSRRefD22x_0" localSheetId="64">'309'!$D$20,'309'!$D$22,'309'!$D$24:$D$25,'309'!$D$27</definedName>
    <definedName name="OSRRefD22x_0" localSheetId="63">'310'!$D$27:$D$35,'310'!$D$37:$D$46,'310'!$D$48,'310'!$D$50,'310'!$D$52,'310'!$D$54:$D$55,'310'!$D$57,'310'!$D$59,'310'!$D$61,'310'!$D$63,'310'!$D$65:$D$67,'310'!$D$69,'310'!$D$71:$D$73,'310'!$D$75:$D$79,'310'!$D$81:$D$82,'310'!$D$84,'310'!$D$86</definedName>
    <definedName name="OSRRefD22x_0" localSheetId="70">'310 &amp; 491'!$D$29:$D$37,'310 &amp; 491'!$D$39:$D$48,'310 &amp; 491'!$D$50,'310 &amp; 491'!$D$52,'310 &amp; 491'!$D$54,'310 &amp; 491'!$D$56:$D$57,'310 &amp; 491'!$D$59,'310 &amp; 491'!$D$61,'310 &amp; 491'!$D$63,'310 &amp; 491'!$D$65,'310 &amp; 491'!$D$67,'310 &amp; 491'!$D$69,'310 &amp; 491'!$D$71:$D$73,'310 &amp; 491'!$D$75:$D$76,'310 &amp; 491'!$D$78:$D$82,'310 &amp; 491'!$D$84,'310 &amp; 491'!$D$86:$D$95,'310 &amp; 491'!$D$97:$D$98,'310 &amp; 491'!$D$100,'310 &amp; 491'!$D$102</definedName>
    <definedName name="OSRRefD22x_0" localSheetId="54">'311'!$D$35:$D$44,'311'!$D$46:$D$55,'311'!$D$57,'311'!$D$59,'311'!$D$61,'311'!$D$63,'311'!$D$65,'311'!$D$67,'311'!$D$69:$D$71,'311'!$D$73,'311'!$D$75:$D$76,'311'!$D$78:$D$79</definedName>
    <definedName name="OSRRefD22x_0" localSheetId="57">'315'!$D$44:$D$52,'315'!$D$54:$D$63,'315'!$D$65,'315'!$D$67,'315'!$D$69,'315'!$D$71,'315'!$D$73,'315'!$D$75:$D$76,'315'!$D$78,'315'!$D$80,'315'!$D$82,'315'!$D$84:$D$85,'315'!$D$87:$D$89,'315'!$D$91:$D$92,'315'!$D$94:$D$96,'315'!$D$98,'315'!$D$100</definedName>
    <definedName name="OSRRefD22x_0" localSheetId="60">'316'!$D$26:$D$34,'316'!$D$36:$D$45,'316'!$D$47,'316'!$D$49,'316'!$D$51,'316'!$D$53:$D$54,'316'!$D$56,'316'!$D$58:$D$60,'316'!$D$62,'316'!$D$64:$D$67,'316'!$D$69</definedName>
    <definedName name="OSRRefD22x_0" localSheetId="62">'317'!$D$35:$D$44,'317'!$D$46:$D$55,'317'!$D$57,'317'!$D$59,'317'!$D$61,'317'!$D$63,'317'!$D$65,'317'!$D$67,'317'!$D$69:$D$70,'317'!$D$72</definedName>
    <definedName name="OSRRefD22x_0" localSheetId="65">'321'!$D$23:$D$31,'321'!$D$33:$D$42,'321'!$D$44,'321'!$D$46,'321'!$D$48,'321'!$D$50,'321'!$D$52:$D$53,'321'!$D$55,'321'!$D$57:$D$58,'321'!$D$60:$D$63,'321'!$D$65,'321'!$D$67</definedName>
    <definedName name="OSRRefD22x_0" localSheetId="66">'322'!$D$20</definedName>
    <definedName name="OSRRefD22x_0" localSheetId="67">'325'!$D$25:$D$33,'325'!$D$35:$D$44,'325'!$D$46,'325'!$D$48,'325'!$D$50,'325'!$D$52:$D$53,'325'!$D$55,'325'!$D$57,'325'!$D$59,'325'!$D$61,'325'!$D$63:$D$65,'325'!$D$67:$D$69,'325'!$D$71:$D$75,'325'!$D$77:$D$78,'325'!$D$80</definedName>
    <definedName name="OSRRefD22x_0" localSheetId="58">'326'!$D$28:$D$36,'326'!$D$38:$D$47,'326'!$D$49,'326'!$D$51,'326'!$D$53,'326'!$D$55,'326'!$D$57,'326'!$D$59,'326'!$D$61,'326'!$D$63,'326'!$D$65,'326'!$D$67:$D$68,'326'!$D$70:$D$71,'326'!$D$73:$D$74,'326'!$D$76:$D$78,'326'!$D$80,'326'!$D$82:$D$83,'326'!$D$85</definedName>
    <definedName name="OSRRefD22x_0" localSheetId="68">'327'!$D$26</definedName>
    <definedName name="OSRRefD22x_0" localSheetId="51">'330'!$D$34:$D$41,'330'!$D$43:$D$52,'330'!$D$54,'330'!$D$56,'330'!$D$58,'330'!$D$60:$D$61,'330'!$D$63,'330'!$D$65,'330'!$D$67,'330'!$D$69:$D$70,'330'!$D$72:$D$73,'330'!$D$75:$D$78,'330'!$D$80</definedName>
    <definedName name="OSRRefD22x_0" localSheetId="56">'331'!$D$44:$D$52,'331'!$D$54:$D$63,'331'!$D$65,'331'!$D$67,'331'!$D$69,'331'!$D$71,'331'!$D$73,'331'!$D$75:$D$76,'331'!$D$78:$D$79,'331'!$D$81,'331'!$D$83,'331'!$D$85,'331'!$D$87,'331'!$D$89:$D$90,'331'!$D$92:$D$94,'331'!$D$96:$D$97,'331'!$D$99:$D$100,'331'!$D$102:$D$105,'331'!$D$107,'331'!$D$109:$D$110,'331'!$D$112</definedName>
    <definedName name="OSRRefD22x_0" localSheetId="59">'332'!$D$26:$D$34,'332'!$D$36:$D$45,'332'!$D$47,'332'!$D$49,'332'!$D$51,'332'!$D$53:$D$54,'332'!$D$56,'332'!$D$58:$D$60,'332'!$D$62,'332'!$D$64:$D$67,'332'!$D$69</definedName>
    <definedName name="OSRRefD22x_0" localSheetId="72">'405'!$D$27:$D$35,'405'!$D$37:$D$46,'405'!$D$48,'405'!$D$50,'405'!$D$52,'405'!$D$54:$D$55,'405'!$D$57,'405'!$D$59,'405'!$D$61,'405'!$D$63:$D$64,'405'!$D$66:$D$69,'405'!$D$71,'405'!$D$73:$D$80,'405'!$D$82,'405'!$D$84,'405'!$D$86</definedName>
    <definedName name="OSRRefD22x_0" localSheetId="73">'406'!$D$20,'406'!$D$22</definedName>
    <definedName name="OSRRefD22x_0" localSheetId="74">'411'!$D$20:$D$28,'411'!$D$30:$D$39,'411'!$D$41,'411'!$D$43:$D$44,'411'!$D$46,'411'!$D$48,'411'!$D$50,'411'!$D$52,'411'!$D$54:$D$56,'411'!$D$58:$D$60,'411'!$D$62,'411'!$D$64,'411'!$D$66,'411'!$D$68</definedName>
    <definedName name="OSRRefD22x_0" localSheetId="75">'412'!$D$20,'412'!$D$22,'412'!$D$24,'412'!$D$26</definedName>
    <definedName name="OSRRefD22x_0" localSheetId="76">'413'!$D$20,'413'!$D$22,'413'!$D$24</definedName>
    <definedName name="OSRRefD22x_0" localSheetId="77">'414'!$D$20,'414'!$D$22</definedName>
    <definedName name="OSRRefD22x_0" localSheetId="78">'415'!$D$27:$D$35,'415'!$D$37:$D$46,'415'!$D$48,'415'!$D$50,'415'!$D$52,'415'!$D$54:$D$55,'415'!$D$57,'415'!$D$59,'415'!$D$61,'415'!$D$63,'415'!$D$65:$D$66,'415'!$D$68:$D$71,'415'!$D$73,'415'!$D$75:$D$80,'415'!$D$82:$D$83,'415'!$D$85,'415'!$D$87</definedName>
    <definedName name="OSRRefD22x_0" localSheetId="79">'418'!$D$24:$D$32,'418'!$D$34:$D$43,'418'!$D$45,'418'!$D$47,'418'!$D$49:$D$50,'418'!$D$52,'418'!$D$54,'418'!$D$56,'418'!$D$58:$D$59,'418'!$D$61:$D$64,'418'!$D$66,'418'!$D$68:$D$75,'418'!$D$77:$D$78,'418'!$D$80,'418'!$D$82</definedName>
    <definedName name="OSRRefD22x_0" localSheetId="80">'423'!$D$20:$D$27,'423'!$D$29:$D$38,'423'!$D$40,'423'!$D$42,'423'!$D$44,'423'!$D$46</definedName>
    <definedName name="OSRRefD22x_0" localSheetId="81">'424'!$D$20,'424'!$D$22</definedName>
    <definedName name="OSRRefD22x_0" localSheetId="82">'425'!$D$22,'425'!$D$24,'425'!$D$26,'425'!$D$28,'425'!$D$30,'425'!$D$32</definedName>
    <definedName name="OSRRefD22x_0" localSheetId="84">'430'!$D$20:$D$28,'430'!$D$30:$D$39,'430'!$D$41,'430'!$D$43,'430'!$D$45,'430'!$D$47:$D$48,'430'!$D$50:$D$51,'430'!$D$53,'430'!$D$55</definedName>
    <definedName name="OSRRefD22x_0" localSheetId="85">'433'!$D$27:$D$36,'433'!$D$38:$D$47,'433'!$D$49,'433'!$D$51,'433'!$D$53,'433'!$D$55,'433'!$D$57,'433'!$D$59,'433'!$D$61,'433'!$D$63,'433'!$D$65,'433'!$D$67:$D$69,'433'!$D$71:$D$74,'433'!$D$76:$D$83,'433'!$D$85</definedName>
    <definedName name="OSRRefD22x_0" localSheetId="86">'444'!$D$27:$D$36,'444'!$D$38:$D$47,'444'!$D$49,'444'!$D$51,'444'!$D$53,'444'!$D$55,'444'!$D$57,'444'!$D$59,'444'!$D$61,'444'!$D$63,'444'!$D$65,'444'!$D$67:$D$68,'444'!$D$70:$D$73,'444'!$D$75:$D$81,'444'!$D$83,'444'!$D$85</definedName>
    <definedName name="OSRRefD22x_0" localSheetId="87">'450'!$D$27:$D$36,'450'!$D$38:$D$47,'450'!$D$49,'450'!$D$51,'450'!$D$53,'450'!$D$55,'450'!$D$57,'450'!$D$59,'450'!$D$61,'450'!$D$63,'450'!$D$65,'450'!$D$67:$D$69,'450'!$D$71:$D$74,'450'!$D$76:$D$82,'450'!$D$84,'450'!$D$86,'450'!$D$88</definedName>
    <definedName name="OSRRefD22x_0" localSheetId="71">'491'!$D$28:$D$36,'491'!$D$38:$D$47,'491'!$D$49,'491'!$D$51,'491'!$D$53,'491'!$D$55:$D$56,'491'!$D$58,'491'!$D$60,'491'!$D$62,'491'!$D$64,'491'!$D$66,'491'!$D$68,'491'!$D$70:$D$72,'491'!$D$74,'491'!$D$76:$D$80,'491'!$D$82,'491'!$D$84:$D$92,'491'!$D$94:$D$95,'491'!$D$97,'491'!$D$99</definedName>
    <definedName name="OSRRefD22x_0" localSheetId="83">'492'!$D$27:$D$36,'492'!$D$38:$D$47,'492'!$D$49,'492'!$D$51,'492'!$D$53,'492'!$D$55,'492'!$D$57,'492'!$D$59,'492'!$D$61,'492'!$D$63,'492'!$D$65,'492'!$D$67,'492'!$D$69:$D$71,'492'!$D$73:$D$76,'492'!$D$78:$D$85,'492'!$D$87:$D$88,'492'!$D$90,'492'!$D$92:$D$93</definedName>
    <definedName name="OSRRefD22x_0" localSheetId="89">'501'!$D$21:$D$30,'501'!$D$32:$D$41,'501'!$D$43,'501'!$D$45,'501'!$D$47,'501'!$D$49:$D$50,'501'!$D$52,'501'!$D$54,'501'!$D$56,'501'!$D$58:$D$60,'501'!$D$62,'501'!$D$64:$D$66,'501'!$D$68,'501'!$D$70</definedName>
    <definedName name="OSRRefD22x_0" localSheetId="39">'Div 2'!$D$20:$D$30,'Div 2'!$D$32:$D$41,'Div 2'!$D$43,'Div 2'!$D$45,'Div 2'!$D$47,'Div 2'!$D$49:$D$50,'Div 2'!$D$52,'Div 2'!$D$54,'Div 2'!$D$56,'Div 2'!$D$58,'Div 2'!$D$60,'Div 2'!$D$62,'Div 2'!$D$64:$D$67,'Div 2'!$D$69:$D$72,'Div 2'!$D$74:$D$75,'Div 2'!$D$77,'Div 2'!$D$79:$D$84,'Div 2'!$D$86:$D$87,'Div 2'!$D$89,'Div 2'!$D$91</definedName>
    <definedName name="OSRRefD22x_0" localSheetId="47">'Div 3'!$D$58:$D$67,'Div 3'!$D$69:$D$78,'Div 3'!$D$80,'Div 3'!$D$82,'Div 3'!$D$84,'Div 3'!$D$86:$D$87,'Div 3'!$D$89:$D$90,'Div 3'!$D$92,'Div 3'!$D$94,'Div 3'!$D$96,'Div 3'!$D$98:$D$99,'Div 3'!$D$101:$D$102,'Div 3'!$D$104,'Div 3'!$D$106,'Div 3'!$D$108,'Div 3'!$D$110,'Div 3'!$D$112,'Div 3'!$D$114:$D$117,'Div 3'!$D$119:$D$122,'Div 3'!$D$124:$D$127,'Div 3'!$D$129:$D$130,'Div 3'!$D$132:$D$138,'Div 3'!$D$140:$D$141,'Div 3'!$D$143,'Div 3'!$D$145:$D$147,'Div 3'!$D$149</definedName>
    <definedName name="OSRRefD22x_0" localSheetId="69">'Div 4'!$D$29:$D$38,'Div 4'!$D$40:$D$49,'Div 4'!$D$51,'Div 4'!$D$53,'Div 4'!$D$55,'Div 4'!$D$57:$D$58,'Div 4'!$D$60,'Div 4'!$D$62,'Div 4'!$D$64,'Div 4'!$D$66,'Div 4'!$D$68,'Div 4'!$D$70,'Div 4'!$D$72,'Div 4'!$D$74,'Div 4'!$D$76:$D$78,'Div 4'!$D$80,'Div 4'!$D$82:$D$86,'Div 4'!$D$88,'Div 4'!$D$90:$D$99,'Div 4'!$D$101:$D$102,'Div 4'!$D$104,'Div 4'!$D$106:$D$107,'Div 4'!$D$109</definedName>
    <definedName name="OSRRefD22x_0" localSheetId="88">'Div 5'!$D$21:$D$30,'Div 5'!$D$32:$D$41,'Div 5'!$D$43,'Div 5'!$D$45,'Div 5'!$D$47,'Div 5'!$D$49:$D$50,'Div 5'!$D$52,'Div 5'!$D$54,'Div 5'!$D$56,'Div 5'!$D$58:$D$60,'Div 5'!$D$62,'Div 5'!$D$64:$D$66,'Div 5'!$D$68,'Div 5'!$D$70</definedName>
    <definedName name="OSRRefD22x_0" localSheetId="61">'Div 6'!$D$35:$D$44,'Div 6'!$D$46:$D$55,'Div 6'!$D$57,'Div 6'!$D$59,'Div 6'!$D$61,'Div 6'!$D$63,'Div 6'!$D$65,'Div 6'!$D$67,'Div 6'!$D$69:$D$70,'Div 6'!$D$72</definedName>
    <definedName name="OSRRefD22x_0" localSheetId="2">Summary!$D$66:$D$75,Summary!$D$77:$D$86,Summary!$D$88,Summary!$D$90,Summary!$D$92,Summary!$D$94:$D$95,Summary!$D$97:$D$98,Summary!$D$100,Summary!$D$102,Summary!$D$104,Summary!$D$106:$D$107,Summary!$D$109:$D$110,Summary!$D$112,Summary!$D$114,Summary!$D$116,Summary!$D$118,Summary!$D$120,Summary!$D$122,Summary!$D$124:$D$127,Summary!$D$129:$D$132,Summary!$D$134:$D$138,Summary!$D$140:$D$141,Summary!$D$143:$D$152,Summary!$D$154:$D$155,Summary!$D$157,Summary!$D$159:$D$161,Summary!$D$163</definedName>
    <definedName name="OSRRefD25x_0" localSheetId="48">'300'!$D$145:$D$149</definedName>
    <definedName name="OSRRefD25x_0" localSheetId="49">'300 &amp; 317'!$D$151:$D$157</definedName>
    <definedName name="OSRRefD25x_0" localSheetId="50">'301'!$D$97:$D$98</definedName>
    <definedName name="OSRRefD25x_0" localSheetId="53">'308'!$D$82:$D$85</definedName>
    <definedName name="OSRRefD25x_0" localSheetId="70">'310 &amp; 491'!$D$105:$D$107</definedName>
    <definedName name="OSRRefD25x_0" localSheetId="54">'311'!$D$82:$D$85</definedName>
    <definedName name="OSRRefD25x_0" localSheetId="57">'315'!$D$103:$D$105</definedName>
    <definedName name="OSRRefD25x_0" localSheetId="60">'316'!$D$72</definedName>
    <definedName name="OSRRefD25x_0" localSheetId="62">'317'!$D$75:$D$77</definedName>
    <definedName name="OSRRefD25x_0" localSheetId="56">'331'!$D$115:$D$117</definedName>
    <definedName name="OSRRefD25x_0" localSheetId="59">'332'!$D$72</definedName>
    <definedName name="OSRRefD25x_0" localSheetId="74">'411'!$D$71</definedName>
    <definedName name="OSRRefD25x_0" localSheetId="78">'415'!$D$90</definedName>
    <definedName name="OSRRefD25x_0" localSheetId="79">'418'!$D$85</definedName>
    <definedName name="OSRRefD25x_0" localSheetId="80">'423'!$D$49</definedName>
    <definedName name="OSRRefD25x_0" localSheetId="71">'491'!$D$102:$D$104</definedName>
    <definedName name="OSRRefD25x_0" localSheetId="89">'501'!$D$73</definedName>
    <definedName name="OSRRefD25x_0" localSheetId="47">'Div 3'!$D$152:$D$156</definedName>
    <definedName name="OSRRefD25x_0" localSheetId="69">'Div 4'!$D$112:$D$114</definedName>
    <definedName name="OSRRefD25x_0" localSheetId="88">'Div 5'!$D$73</definedName>
    <definedName name="OSRRefD25x_0" localSheetId="61">'Div 6'!$D$75:$D$77</definedName>
    <definedName name="OSRRefD25x_0" localSheetId="2">Summary!$D$166:$D$173</definedName>
    <definedName name="OSRRefH13x_0" localSheetId="48">'300'!$H$13:$H$19</definedName>
    <definedName name="OSRRefH13x_0" localSheetId="49">'300 &amp; 317'!$H$13:$H$19</definedName>
    <definedName name="OSRRefH13x_0" localSheetId="52">'307'!$H$13:$H$16</definedName>
    <definedName name="OSRRefH13x_0" localSheetId="53">'308'!$H$13:$H$17</definedName>
    <definedName name="OSRRefH13x_0" localSheetId="63">'310'!$H$13:$H$16</definedName>
    <definedName name="OSRRefH13x_0" localSheetId="70">'310 &amp; 491'!$H$13:$H$18</definedName>
    <definedName name="OSRRefH13x_0" localSheetId="54">'311'!$H$13:$H$17</definedName>
    <definedName name="OSRRefH13x_0" localSheetId="57">'315'!$H$13:$H$17</definedName>
    <definedName name="OSRRefH13x_0" localSheetId="60">'316'!$H$13:$H$17</definedName>
    <definedName name="OSRRefH13x_0" localSheetId="62">'317'!$H$13:$H$17</definedName>
    <definedName name="OSRRefH13x_0" localSheetId="65">'321'!$H$13:$H$14</definedName>
    <definedName name="OSRRefH13x_0" localSheetId="55">'324'!$H$13:$H$14</definedName>
    <definedName name="OSRRefH13x_0" localSheetId="67">'325'!$H$13:$H$14</definedName>
    <definedName name="OSRRefH13x_0" localSheetId="58">'326'!$H$13:$H$16</definedName>
    <definedName name="OSRRefH13x_0" localSheetId="68">'327'!$H$13:$H$15</definedName>
    <definedName name="OSRRefH13x_0" localSheetId="51">'330'!$H$13:$H$16</definedName>
    <definedName name="OSRRefH13x_0" localSheetId="56">'331'!$H$13:$H$17</definedName>
    <definedName name="OSRRefH13x_0" localSheetId="59">'332'!$H$13:$H$17</definedName>
    <definedName name="OSRRefH13x_0" localSheetId="72">'405'!$H$13:$H$16</definedName>
    <definedName name="OSRRefH13x_0" localSheetId="78">'415'!$H$13:$H$16</definedName>
    <definedName name="OSRRefH13x_0" localSheetId="79">'418'!$H$13:$H$14</definedName>
    <definedName name="OSRRefH13x_0" localSheetId="82">'425'!$H$13</definedName>
    <definedName name="OSRRefH13x_0" localSheetId="85">'433'!$H$13:$H$16</definedName>
    <definedName name="OSRRefH13x_0" localSheetId="86">'444'!$H$13:$H$16</definedName>
    <definedName name="OSRRefH13x_0" localSheetId="87">'450'!$H$13:$H$16</definedName>
    <definedName name="OSRRefH13x_0" localSheetId="71">'491'!$H$13:$H$17</definedName>
    <definedName name="OSRRefH13x_0" localSheetId="83">'492'!$H$13:$H$16</definedName>
    <definedName name="OSRRefH13x_0" localSheetId="89">'501'!$H$13</definedName>
    <definedName name="OSRRefH13x_0" localSheetId="47">'Div 3'!$H$13:$H$21</definedName>
    <definedName name="OSRRefH13x_0" localSheetId="69">'Div 4'!$H$13:$H$18</definedName>
    <definedName name="OSRRefH13x_0" localSheetId="88">'Div 5'!$H$13</definedName>
    <definedName name="OSRRefH13x_0" localSheetId="61">'Div 6'!$H$13:$H$17</definedName>
    <definedName name="OSRRefH13x_0" localSheetId="2">Summary!$H$13:$H$23</definedName>
    <definedName name="OSRRefH16x_0" localSheetId="48">'300'!$H$22:$H$48</definedName>
    <definedName name="OSRRefH16x_0" localSheetId="49">'300 &amp; 317'!$H$22:$H$54</definedName>
    <definedName name="OSRRefH16x_0" localSheetId="50">'301'!$H$15</definedName>
    <definedName name="OSRRefH16x_0" localSheetId="52">'307'!$H$19:$H$28</definedName>
    <definedName name="OSRRefH16x_0" localSheetId="53">'308'!$H$20:$H$29</definedName>
    <definedName name="OSRRefH16x_0" localSheetId="63">'310'!$H$19:$H$21</definedName>
    <definedName name="OSRRefH16x_0" localSheetId="70">'310 &amp; 491'!$H$21:$H$23</definedName>
    <definedName name="OSRRefH16x_0" localSheetId="54">'311'!$H$20:$H$29</definedName>
    <definedName name="OSRRefH16x_0" localSheetId="57">'315'!$H$20:$H$38</definedName>
    <definedName name="OSRRefH16x_0" localSheetId="60">'316'!$H$20</definedName>
    <definedName name="OSRRefH16x_0" localSheetId="62">'317'!$H$20:$H$29</definedName>
    <definedName name="OSRRefH16x_0" localSheetId="65">'321'!$H$17</definedName>
    <definedName name="OSRRefH16x_0" localSheetId="55">'324'!$H$17</definedName>
    <definedName name="OSRRefH16x_0" localSheetId="67">'325'!$H$17:$H$19</definedName>
    <definedName name="OSRRefH16x_0" localSheetId="58">'326'!$H$19:$H$22</definedName>
    <definedName name="OSRRefH16x_0" localSheetId="68">'327'!$H$18:$H$20</definedName>
    <definedName name="OSRRefH16x_0" localSheetId="51">'330'!$H$19:$H$28</definedName>
    <definedName name="OSRRefH16x_0" localSheetId="56">'331'!$H$20:$H$38</definedName>
    <definedName name="OSRRefH16x_0" localSheetId="59">'332'!$H$20</definedName>
    <definedName name="OSRRefH16x_0" localSheetId="72">'405'!$H$19:$H$21</definedName>
    <definedName name="OSRRefH16x_0" localSheetId="78">'415'!$H$19:$H$21</definedName>
    <definedName name="OSRRefH16x_0" localSheetId="79">'418'!$H$17:$H$18</definedName>
    <definedName name="OSRRefH16x_0" localSheetId="82">'425'!$H$16</definedName>
    <definedName name="OSRRefH16x_0" localSheetId="85">'433'!$H$19:$H$21</definedName>
    <definedName name="OSRRefH16x_0" localSheetId="86">'444'!$H$19:$H$21</definedName>
    <definedName name="OSRRefH16x_0" localSheetId="87">'450'!$H$19:$H$21</definedName>
    <definedName name="OSRRefH16x_0" localSheetId="71">'491'!$H$20:$H$22</definedName>
    <definedName name="OSRRefH16x_0" localSheetId="83">'492'!$H$19:$H$21</definedName>
    <definedName name="OSRRefH16x_0" localSheetId="47">'Div 3'!$H$24:$H$52</definedName>
    <definedName name="OSRRefH16x_0" localSheetId="69">'Div 4'!$H$21:$H$23</definedName>
    <definedName name="OSRRefH16x_0" localSheetId="61">'Div 6'!$H$20:$H$29</definedName>
    <definedName name="OSRRefH16x_0" localSheetId="2">Summary!$H$26:$H$60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'204'!$H$20:$H$28</definedName>
    <definedName name="OSRRefH22_0x_0" localSheetId="45">'205'!$H$20:$H$28</definedName>
    <definedName name="OSRRefH22_0x_0" localSheetId="46">'206'!$H$20:$H$28</definedName>
    <definedName name="OSRRefH22_0x_0" localSheetId="48">'300'!$H$54:$H$63</definedName>
    <definedName name="OSRRefH22_0x_0" localSheetId="49">'300 &amp; 317'!$H$60:$H$69</definedName>
    <definedName name="OSRRefH22_0x_0" localSheetId="50">'301'!$H$21:$H$30</definedName>
    <definedName name="OSRRefH22_0x_0" localSheetId="52">'307'!$H$34:$H$41</definedName>
    <definedName name="OSRRefH22_0x_0" localSheetId="53">'308'!$H$35:$H$44</definedName>
    <definedName name="OSRRefH22_0x_0" localSheetId="64">'309'!$H$20</definedName>
    <definedName name="OSRRefH22_0x_0" localSheetId="63">'310'!$H$27:$H$35</definedName>
    <definedName name="OSRRefH22_0x_0" localSheetId="70">'310 &amp; 491'!$H$29:$H$37</definedName>
    <definedName name="OSRRefH22_0x_0" localSheetId="54">'311'!$H$35:$H$44</definedName>
    <definedName name="OSRRefH22_0x_0" localSheetId="57">'315'!$H$44:$H$52</definedName>
    <definedName name="OSRRefH22_0x_0" localSheetId="60">'316'!$H$26:$H$34</definedName>
    <definedName name="OSRRefH22_0x_0" localSheetId="62">'317'!$H$35:$H$44</definedName>
    <definedName name="OSRRefH22_0x_0" localSheetId="65">'321'!$H$23:$H$31</definedName>
    <definedName name="OSRRefH22_0x_0" localSheetId="66">'322'!$H$20</definedName>
    <definedName name="OSRRefH22_0x_0" localSheetId="67">'325'!$H$25:$H$33</definedName>
    <definedName name="OSRRefH22_0x_0" localSheetId="58">'326'!$H$28:$H$36</definedName>
    <definedName name="OSRRefH22_0x_0" localSheetId="68">'327'!$H$26</definedName>
    <definedName name="OSRRefH22_0x_0" localSheetId="51">'330'!$H$34:$H$41</definedName>
    <definedName name="OSRRefH22_0x_0" localSheetId="56">'331'!$H$44:$H$52</definedName>
    <definedName name="OSRRefH22_0x_0" localSheetId="59">'332'!$H$26:$H$34</definedName>
    <definedName name="OSRRefH22_0x_0" localSheetId="72">'405'!$H$27:$H$35</definedName>
    <definedName name="OSRRefH22_0x_0" localSheetId="73">'406'!$H$20</definedName>
    <definedName name="OSRRefH22_0x_0" localSheetId="74">'411'!$H$20:$H$28</definedName>
    <definedName name="OSRRefH22_0x_0" localSheetId="75">'412'!$H$20</definedName>
    <definedName name="OSRRefH22_0x_0" localSheetId="76">'413'!$H$20</definedName>
    <definedName name="OSRRefH22_0x_0" localSheetId="77">'414'!$H$20</definedName>
    <definedName name="OSRRefH22_0x_0" localSheetId="78">'415'!$H$27:$H$35</definedName>
    <definedName name="OSRRefH22_0x_0" localSheetId="79">'418'!$H$24:$H$32</definedName>
    <definedName name="OSRRefH22_0x_0" localSheetId="80">'423'!$H$20:$H$27</definedName>
    <definedName name="OSRRefH22_0x_0" localSheetId="81">'424'!$H$20</definedName>
    <definedName name="OSRRefH22_0x_0" localSheetId="82">'425'!$H$22</definedName>
    <definedName name="OSRRefH22_0x_0" localSheetId="84">'430'!$H$20:$H$28</definedName>
    <definedName name="OSRRefH22_0x_0" localSheetId="85">'433'!$H$27:$H$36</definedName>
    <definedName name="OSRRefH22_0x_0" localSheetId="86">'444'!$H$27:$H$36</definedName>
    <definedName name="OSRRefH22_0x_0" localSheetId="87">'450'!$H$27:$H$36</definedName>
    <definedName name="OSRRefH22_0x_0" localSheetId="71">'491'!$H$28:$H$36</definedName>
    <definedName name="OSRRefH22_0x_0" localSheetId="83">'492'!$H$27:$H$36</definedName>
    <definedName name="OSRRefH22_0x_0" localSheetId="89">'501'!$H$21:$H$30</definedName>
    <definedName name="OSRRefH22_0x_0" localSheetId="39">'Div 2'!$H$20:$H$30</definedName>
    <definedName name="OSRRefH22_0x_0" localSheetId="47">'Div 3'!$H$58:$H$67</definedName>
    <definedName name="OSRRefH22_0x_0" localSheetId="69">'Div 4'!$H$29:$H$38</definedName>
    <definedName name="OSRRefH22_0x_0" localSheetId="88">'Div 5'!$H$21:$H$30</definedName>
    <definedName name="OSRRefH22_0x_0" localSheetId="61">'Div 6'!$H$35:$H$44</definedName>
    <definedName name="OSRRefH22_0x_0" localSheetId="2">Summary!$H$66:$H$75</definedName>
    <definedName name="OSRRefH22_10x_0" localSheetId="41">'201'!$H$59</definedName>
    <definedName name="OSRRefH22_10x_0" localSheetId="42">'202'!$H$59</definedName>
    <definedName name="OSRRefH22_10x_0" localSheetId="43">'203'!$H$61</definedName>
    <definedName name="OSRRefH22_10x_0" localSheetId="48">'300'!$H$94:$H$95</definedName>
    <definedName name="OSRRefH22_10x_0" localSheetId="49">'300 &amp; 317'!$H$100:$H$101</definedName>
    <definedName name="OSRRefH22_10x_0" localSheetId="50">'301'!$H$60</definedName>
    <definedName name="OSRRefH22_10x_0" localSheetId="52">'307'!$H$72:$H$73</definedName>
    <definedName name="OSRRefH22_10x_0" localSheetId="53">'308'!$H$75:$H$76</definedName>
    <definedName name="OSRRefH22_10x_0" localSheetId="63">'310'!$H$65:$H$67</definedName>
    <definedName name="OSRRefH22_10x_0" localSheetId="70">'310 &amp; 491'!$H$67</definedName>
    <definedName name="OSRRefH22_10x_0" localSheetId="54">'311'!$H$75:$H$76</definedName>
    <definedName name="OSRRefH22_10x_0" localSheetId="57">'315'!$H$82</definedName>
    <definedName name="OSRRefH22_10x_0" localSheetId="60">'316'!$H$69</definedName>
    <definedName name="OSRRefH22_10x_0" localSheetId="65">'321'!$H$65</definedName>
    <definedName name="OSRRefH22_10x_0" localSheetId="67">'325'!$H$63:$H$65</definedName>
    <definedName name="OSRRefH22_10x_0" localSheetId="58">'326'!$H$65</definedName>
    <definedName name="OSRRefH22_10x_0" localSheetId="51">'330'!$H$72:$H$73</definedName>
    <definedName name="OSRRefH22_10x_0" localSheetId="56">'331'!$H$83</definedName>
    <definedName name="OSRRefH22_10x_0" localSheetId="59">'332'!$H$69</definedName>
    <definedName name="OSRRefH22_10x_0" localSheetId="72">'405'!$H$66:$H$69</definedName>
    <definedName name="OSRRefH22_10x_0" localSheetId="74">'411'!$H$62</definedName>
    <definedName name="OSRRefH22_10x_0" localSheetId="78">'415'!$H$65:$H$66</definedName>
    <definedName name="OSRRefH22_10x_0" localSheetId="79">'418'!$H$66</definedName>
    <definedName name="OSRRefH22_10x_0" localSheetId="85">'433'!$H$65</definedName>
    <definedName name="OSRRefH22_10x_0" localSheetId="86">'444'!$H$65</definedName>
    <definedName name="OSRRefH22_10x_0" localSheetId="87">'450'!$H$65</definedName>
    <definedName name="OSRRefH22_10x_0" localSheetId="71">'491'!$H$66</definedName>
    <definedName name="OSRRefH22_10x_0" localSheetId="83">'492'!$H$65</definedName>
    <definedName name="OSRRefH22_10x_0" localSheetId="89">'501'!$H$62</definedName>
    <definedName name="OSRRefH22_10x_0" localSheetId="39">'Div 2'!$H$60</definedName>
    <definedName name="OSRRefH22_10x_0" localSheetId="47">'Div 3'!$H$98:$H$99</definedName>
    <definedName name="OSRRefH22_10x_0" localSheetId="69">'Div 4'!$H$68</definedName>
    <definedName name="OSRRefH22_10x_0" localSheetId="88">'Div 5'!$H$62</definedName>
    <definedName name="OSRRefH22_10x_0" localSheetId="2">Summary!$H$106:$H$107</definedName>
    <definedName name="OSRRefH22_11x_0" localSheetId="41">'201'!$H$61:$H$62</definedName>
    <definedName name="OSRRefH22_11x_0" localSheetId="42">'202'!$H$61</definedName>
    <definedName name="OSRRefH22_11x_0" localSheetId="43">'203'!$H$63:$H$66</definedName>
    <definedName name="OSRRefH22_11x_0" localSheetId="48">'300'!$H$97:$H$98</definedName>
    <definedName name="OSRRefH22_11x_0" localSheetId="49">'300 &amp; 317'!$H$103:$H$104</definedName>
    <definedName name="OSRRefH22_11x_0" localSheetId="50">'301'!$H$62</definedName>
    <definedName name="OSRRefH22_11x_0" localSheetId="52">'307'!$H$75:$H$78</definedName>
    <definedName name="OSRRefH22_11x_0" localSheetId="53">'308'!$H$78:$H$79</definedName>
    <definedName name="OSRRefH22_11x_0" localSheetId="63">'310'!$H$69</definedName>
    <definedName name="OSRRefH22_11x_0" localSheetId="70">'310 &amp; 491'!$H$69</definedName>
    <definedName name="OSRRefH22_11x_0" localSheetId="54">'311'!$H$78:$H$79</definedName>
    <definedName name="OSRRefH22_11x_0" localSheetId="57">'315'!$H$84:$H$85</definedName>
    <definedName name="OSRRefH22_11x_0" localSheetId="65">'321'!$H$67</definedName>
    <definedName name="OSRRefH22_11x_0" localSheetId="67">'325'!$H$67:$H$69</definedName>
    <definedName name="OSRRefH22_11x_0" localSheetId="58">'326'!$H$67:$H$68</definedName>
    <definedName name="OSRRefH22_11x_0" localSheetId="51">'330'!$H$75:$H$78</definedName>
    <definedName name="OSRRefH22_11x_0" localSheetId="56">'331'!$H$85</definedName>
    <definedName name="OSRRefH22_11x_0" localSheetId="72">'405'!$H$71</definedName>
    <definedName name="OSRRefH22_11x_0" localSheetId="74">'411'!$H$64</definedName>
    <definedName name="OSRRefH22_11x_0" localSheetId="78">'415'!$H$68:$H$71</definedName>
    <definedName name="OSRRefH22_11x_0" localSheetId="79">'418'!$H$68:$H$75</definedName>
    <definedName name="OSRRefH22_11x_0" localSheetId="85">'433'!$H$67:$H$69</definedName>
    <definedName name="OSRRefH22_11x_0" localSheetId="86">'444'!$H$67:$H$68</definedName>
    <definedName name="OSRRefH22_11x_0" localSheetId="87">'450'!$H$67:$H$69</definedName>
    <definedName name="OSRRefH22_11x_0" localSheetId="71">'491'!$H$68</definedName>
    <definedName name="OSRRefH22_11x_0" localSheetId="83">'492'!$H$67</definedName>
    <definedName name="OSRRefH22_11x_0" localSheetId="89">'501'!$H$64:$H$66</definedName>
    <definedName name="OSRRefH22_11x_0" localSheetId="39">'Div 2'!$H$62</definedName>
    <definedName name="OSRRefH22_11x_0" localSheetId="47">'Div 3'!$H$101:$H$102</definedName>
    <definedName name="OSRRefH22_11x_0" localSheetId="69">'Div 4'!$H$70</definedName>
    <definedName name="OSRRefH22_11x_0" localSheetId="88">'Div 5'!$H$64:$H$66</definedName>
    <definedName name="OSRRefH22_11x_0" localSheetId="2">Summary!$H$109:$H$110</definedName>
    <definedName name="OSRRefH22_12x_0" localSheetId="41">'201'!$H$64</definedName>
    <definedName name="OSRRefH22_12x_0" localSheetId="43">'203'!$H$68</definedName>
    <definedName name="OSRRefH22_12x_0" localSheetId="48">'300'!$H$100</definedName>
    <definedName name="OSRRefH22_12x_0" localSheetId="49">'300 &amp; 317'!$H$106</definedName>
    <definedName name="OSRRefH22_12x_0" localSheetId="50">'301'!$H$64</definedName>
    <definedName name="OSRRefH22_12x_0" localSheetId="52">'307'!$H$80</definedName>
    <definedName name="OSRRefH22_12x_0" localSheetId="63">'310'!$H$71:$H$73</definedName>
    <definedName name="OSRRefH22_12x_0" localSheetId="70">'310 &amp; 491'!$H$71:$H$73</definedName>
    <definedName name="OSRRefH22_12x_0" localSheetId="57">'315'!$H$87:$H$89</definedName>
    <definedName name="OSRRefH22_12x_0" localSheetId="67">'325'!$H$71:$H$75</definedName>
    <definedName name="OSRRefH22_12x_0" localSheetId="58">'326'!$H$70:$H$71</definedName>
    <definedName name="OSRRefH22_12x_0" localSheetId="51">'330'!$H$80</definedName>
    <definedName name="OSRRefH22_12x_0" localSheetId="56">'331'!$H$87</definedName>
    <definedName name="OSRRefH22_12x_0" localSheetId="72">'405'!$H$73:$H$80</definedName>
    <definedName name="OSRRefH22_12x_0" localSheetId="74">'411'!$H$66</definedName>
    <definedName name="OSRRefH22_12x_0" localSheetId="78">'415'!$H$73</definedName>
    <definedName name="OSRRefH22_12x_0" localSheetId="79">'418'!$H$77:$H$78</definedName>
    <definedName name="OSRRefH22_12x_0" localSheetId="85">'433'!$H$71:$H$74</definedName>
    <definedName name="OSRRefH22_12x_0" localSheetId="86">'444'!$H$70:$H$73</definedName>
    <definedName name="OSRRefH22_12x_0" localSheetId="87">'450'!$H$71:$H$74</definedName>
    <definedName name="OSRRefH22_12x_0" localSheetId="71">'491'!$H$70:$H$72</definedName>
    <definedName name="OSRRefH22_12x_0" localSheetId="83">'492'!$H$69:$H$71</definedName>
    <definedName name="OSRRefH22_12x_0" localSheetId="89">'501'!$H$68</definedName>
    <definedName name="OSRRefH22_12x_0" localSheetId="39">'Div 2'!$H$64:$H$67</definedName>
    <definedName name="OSRRefH22_12x_0" localSheetId="47">'Div 3'!$H$104</definedName>
    <definedName name="OSRRefH22_12x_0" localSheetId="69">'Div 4'!$H$72</definedName>
    <definedName name="OSRRefH22_12x_0" localSheetId="88">'Div 5'!$H$68</definedName>
    <definedName name="OSRRefH22_12x_0" localSheetId="2">Summary!$H$112</definedName>
    <definedName name="OSRRefH22_13x_0" localSheetId="41">'201'!$H$66</definedName>
    <definedName name="OSRRefH22_13x_0" localSheetId="43">'203'!$H$70</definedName>
    <definedName name="OSRRefH22_13x_0" localSheetId="48">'300'!$H$102</definedName>
    <definedName name="OSRRefH22_13x_0" localSheetId="49">'300 &amp; 317'!$H$108</definedName>
    <definedName name="OSRRefH22_13x_0" localSheetId="50">'301'!$H$66</definedName>
    <definedName name="OSRRefH22_13x_0" localSheetId="63">'310'!$H$75:$H$79</definedName>
    <definedName name="OSRRefH22_13x_0" localSheetId="70">'310 &amp; 491'!$H$75:$H$76</definedName>
    <definedName name="OSRRefH22_13x_0" localSheetId="57">'315'!$H$91:$H$92</definedName>
    <definedName name="OSRRefH22_13x_0" localSheetId="67">'325'!$H$77:$H$78</definedName>
    <definedName name="OSRRefH22_13x_0" localSheetId="58">'326'!$H$73:$H$74</definedName>
    <definedName name="OSRRefH22_13x_0" localSheetId="56">'331'!$H$89:$H$90</definedName>
    <definedName name="OSRRefH22_13x_0" localSheetId="72">'405'!$H$82</definedName>
    <definedName name="OSRRefH22_13x_0" localSheetId="74">'411'!$H$68</definedName>
    <definedName name="OSRRefH22_13x_0" localSheetId="78">'415'!$H$75:$H$80</definedName>
    <definedName name="OSRRefH22_13x_0" localSheetId="79">'418'!$H$80</definedName>
    <definedName name="OSRRefH22_13x_0" localSheetId="85">'433'!$H$76:$H$83</definedName>
    <definedName name="OSRRefH22_13x_0" localSheetId="86">'444'!$H$75:$H$81</definedName>
    <definedName name="OSRRefH22_13x_0" localSheetId="87">'450'!$H$76:$H$82</definedName>
    <definedName name="OSRRefH22_13x_0" localSheetId="71">'491'!$H$74</definedName>
    <definedName name="OSRRefH22_13x_0" localSheetId="83">'492'!$H$73:$H$76</definedName>
    <definedName name="OSRRefH22_13x_0" localSheetId="89">'501'!$H$70</definedName>
    <definedName name="OSRRefH22_13x_0" localSheetId="39">'Div 2'!$H$69:$H$72</definedName>
    <definedName name="OSRRefH22_13x_0" localSheetId="47">'Div 3'!$H$106</definedName>
    <definedName name="OSRRefH22_13x_0" localSheetId="69">'Div 4'!$H$74</definedName>
    <definedName name="OSRRefH22_13x_0" localSheetId="88">'Div 5'!$H$70</definedName>
    <definedName name="OSRRefH22_13x_0" localSheetId="2">Summary!$H$114</definedName>
    <definedName name="OSRRefH22_14x_0" localSheetId="48">'300'!$H$104</definedName>
    <definedName name="OSRRefH22_14x_0" localSheetId="49">'300 &amp; 317'!$H$110</definedName>
    <definedName name="OSRRefH22_14x_0" localSheetId="50">'301'!$H$68</definedName>
    <definedName name="OSRRefH22_14x_0" localSheetId="63">'310'!$H$81:$H$82</definedName>
    <definedName name="OSRRefH22_14x_0" localSheetId="70">'310 &amp; 491'!$H$78:$H$82</definedName>
    <definedName name="OSRRefH22_14x_0" localSheetId="57">'315'!$H$94:$H$96</definedName>
    <definedName name="OSRRefH22_14x_0" localSheetId="67">'325'!$H$80</definedName>
    <definedName name="OSRRefH22_14x_0" localSheetId="58">'326'!$H$76:$H$78</definedName>
    <definedName name="OSRRefH22_14x_0" localSheetId="56">'331'!$H$92:$H$94</definedName>
    <definedName name="OSRRefH22_14x_0" localSheetId="72">'405'!$H$84</definedName>
    <definedName name="OSRRefH22_14x_0" localSheetId="78">'415'!$H$82:$H$83</definedName>
    <definedName name="OSRRefH22_14x_0" localSheetId="79">'418'!$H$82</definedName>
    <definedName name="OSRRefH22_14x_0" localSheetId="85">'433'!$H$85</definedName>
    <definedName name="OSRRefH22_14x_0" localSheetId="86">'444'!$H$83</definedName>
    <definedName name="OSRRefH22_14x_0" localSheetId="87">'450'!$H$84</definedName>
    <definedName name="OSRRefH22_14x_0" localSheetId="71">'491'!$H$76:$H$80</definedName>
    <definedName name="OSRRefH22_14x_0" localSheetId="83">'492'!$H$78:$H$85</definedName>
    <definedName name="OSRRefH22_14x_0" localSheetId="39">'Div 2'!$H$74:$H$75</definedName>
    <definedName name="OSRRefH22_14x_0" localSheetId="47">'Div 3'!$H$108</definedName>
    <definedName name="OSRRefH22_14x_0" localSheetId="69">'Div 4'!$H$76:$H$78</definedName>
    <definedName name="OSRRefH22_14x_0" localSheetId="2">Summary!$H$116</definedName>
    <definedName name="OSRRefH22_15x_0" localSheetId="48">'300'!$H$106</definedName>
    <definedName name="OSRRefH22_15x_0" localSheetId="49">'300 &amp; 317'!$H$112</definedName>
    <definedName name="OSRRefH22_15x_0" localSheetId="50">'301'!$H$70:$H$73</definedName>
    <definedName name="OSRRefH22_15x_0" localSheetId="63">'310'!$H$84</definedName>
    <definedName name="OSRRefH22_15x_0" localSheetId="70">'310 &amp; 491'!$H$84</definedName>
    <definedName name="OSRRefH22_15x_0" localSheetId="57">'315'!$H$98</definedName>
    <definedName name="OSRRefH22_15x_0" localSheetId="58">'326'!$H$80</definedName>
    <definedName name="OSRRefH22_15x_0" localSheetId="56">'331'!$H$96:$H$97</definedName>
    <definedName name="OSRRefH22_15x_0" localSheetId="72">'405'!$H$86</definedName>
    <definedName name="OSRRefH22_15x_0" localSheetId="78">'415'!$H$85</definedName>
    <definedName name="OSRRefH22_15x_0" localSheetId="86">'444'!$H$85</definedName>
    <definedName name="OSRRefH22_15x_0" localSheetId="87">'450'!$H$86</definedName>
    <definedName name="OSRRefH22_15x_0" localSheetId="71">'491'!$H$82</definedName>
    <definedName name="OSRRefH22_15x_0" localSheetId="83">'492'!$H$87:$H$88</definedName>
    <definedName name="OSRRefH22_15x_0" localSheetId="39">'Div 2'!$H$77</definedName>
    <definedName name="OSRRefH22_15x_0" localSheetId="47">'Div 3'!$H$110</definedName>
    <definedName name="OSRRefH22_15x_0" localSheetId="69">'Div 4'!$H$80</definedName>
    <definedName name="OSRRefH22_15x_0" localSheetId="2">Summary!$H$118</definedName>
    <definedName name="OSRRefH22_16x_0" localSheetId="48">'300'!$H$108:$H$111</definedName>
    <definedName name="OSRRefH22_16x_0" localSheetId="49">'300 &amp; 317'!$H$114:$H$117</definedName>
    <definedName name="OSRRefH22_16x_0" localSheetId="50">'301'!$H$75:$H$76</definedName>
    <definedName name="OSRRefH22_16x_0" localSheetId="63">'310'!$H$86</definedName>
    <definedName name="OSRRefH22_16x_0" localSheetId="70">'310 &amp; 491'!$H$86:$H$95</definedName>
    <definedName name="OSRRefH22_16x_0" localSheetId="57">'315'!$H$100</definedName>
    <definedName name="OSRRefH22_16x_0" localSheetId="58">'326'!$H$82:$H$83</definedName>
    <definedName name="OSRRefH22_16x_0" localSheetId="56">'331'!$H$99:$H$100</definedName>
    <definedName name="OSRRefH22_16x_0" localSheetId="78">'415'!$H$87</definedName>
    <definedName name="OSRRefH22_16x_0" localSheetId="87">'450'!$H$88</definedName>
    <definedName name="OSRRefH22_16x_0" localSheetId="71">'491'!$H$84:$H$92</definedName>
    <definedName name="OSRRefH22_16x_0" localSheetId="83">'492'!$H$90</definedName>
    <definedName name="OSRRefH22_16x_0" localSheetId="39">'Div 2'!$H$79:$H$84</definedName>
    <definedName name="OSRRefH22_16x_0" localSheetId="47">'Div 3'!$H$112</definedName>
    <definedName name="OSRRefH22_16x_0" localSheetId="69">'Div 4'!$H$82:$H$86</definedName>
    <definedName name="OSRRefH22_16x_0" localSheetId="2">Summary!$H$120</definedName>
    <definedName name="OSRRefH22_17x_0" localSheetId="48">'300'!$H$113:$H$116</definedName>
    <definedName name="OSRRefH22_17x_0" localSheetId="49">'300 &amp; 317'!$H$119:$H$122</definedName>
    <definedName name="OSRRefH22_17x_0" localSheetId="50">'301'!$H$78</definedName>
    <definedName name="OSRRefH22_17x_0" localSheetId="70">'310 &amp; 491'!$H$97:$H$98</definedName>
    <definedName name="OSRRefH22_17x_0" localSheetId="58">'326'!$H$85</definedName>
    <definedName name="OSRRefH22_17x_0" localSheetId="56">'331'!$H$102:$H$105</definedName>
    <definedName name="OSRRefH22_17x_0" localSheetId="71">'491'!$H$94:$H$95</definedName>
    <definedName name="OSRRefH22_17x_0" localSheetId="83">'492'!$H$92:$H$93</definedName>
    <definedName name="OSRRefH22_17x_0" localSheetId="39">'Div 2'!$H$86:$H$87</definedName>
    <definedName name="OSRRefH22_17x_0" localSheetId="47">'Div 3'!$H$114:$H$117</definedName>
    <definedName name="OSRRefH22_17x_0" localSheetId="69">'Div 4'!$H$88</definedName>
    <definedName name="OSRRefH22_17x_0" localSheetId="2">Summary!$H$122</definedName>
    <definedName name="OSRRefH22_18x_0" localSheetId="48">'300'!$H$118:$H$120</definedName>
    <definedName name="OSRRefH22_18x_0" localSheetId="49">'300 &amp; 317'!$H$124:$H$126</definedName>
    <definedName name="OSRRefH22_18x_0" localSheetId="50">'301'!$H$80:$H$85</definedName>
    <definedName name="OSRRefH22_18x_0" localSheetId="70">'310 &amp; 491'!$H$100</definedName>
    <definedName name="OSRRefH22_18x_0" localSheetId="56">'331'!$H$107</definedName>
    <definedName name="OSRRefH22_18x_0" localSheetId="71">'491'!$H$97</definedName>
    <definedName name="OSRRefH22_18x_0" localSheetId="39">'Div 2'!$H$89</definedName>
    <definedName name="OSRRefH22_18x_0" localSheetId="47">'Div 3'!$H$119:$H$122</definedName>
    <definedName name="OSRRefH22_18x_0" localSheetId="69">'Div 4'!$H$90:$H$99</definedName>
    <definedName name="OSRRefH22_18x_0" localSheetId="2">Summary!$H$124:$H$127</definedName>
    <definedName name="OSRRefH22_19x_0" localSheetId="48">'300'!$H$122:$H$123</definedName>
    <definedName name="OSRRefH22_19x_0" localSheetId="49">'300 &amp; 317'!$H$128:$H$129</definedName>
    <definedName name="OSRRefH22_19x_0" localSheetId="50">'301'!$H$87</definedName>
    <definedName name="OSRRefH22_19x_0" localSheetId="70">'310 &amp; 491'!$H$102</definedName>
    <definedName name="OSRRefH22_19x_0" localSheetId="56">'331'!$H$109:$H$110</definedName>
    <definedName name="OSRRefH22_19x_0" localSheetId="71">'491'!$H$99</definedName>
    <definedName name="OSRRefH22_19x_0" localSheetId="39">'Div 2'!$H$91</definedName>
    <definedName name="OSRRefH22_19x_0" localSheetId="47">'Div 3'!$H$124:$H$127</definedName>
    <definedName name="OSRRefH22_19x_0" localSheetId="69">'Div 4'!$H$101:$H$102</definedName>
    <definedName name="OSRRefH22_19x_0" localSheetId="2">Summary!$H$129:$H$132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'204'!$H$30:$H$39</definedName>
    <definedName name="OSRRefH22_1x_0" localSheetId="45">'205'!$H$30:$H$39</definedName>
    <definedName name="OSRRefH22_1x_0" localSheetId="46">'206'!$H$30:$H$39</definedName>
    <definedName name="OSRRefH22_1x_0" localSheetId="48">'300'!$H$65:$H$74</definedName>
    <definedName name="OSRRefH22_1x_0" localSheetId="49">'300 &amp; 317'!$H$71:$H$80</definedName>
    <definedName name="OSRRefH22_1x_0" localSheetId="50">'301'!$H$32:$H$41</definedName>
    <definedName name="OSRRefH22_1x_0" localSheetId="52">'307'!$H$43:$H$52</definedName>
    <definedName name="OSRRefH22_1x_0" localSheetId="53">'308'!$H$46:$H$55</definedName>
    <definedName name="OSRRefH22_1x_0" localSheetId="64">'309'!$H$22</definedName>
    <definedName name="OSRRefH22_1x_0" localSheetId="63">'310'!$H$37:$H$46</definedName>
    <definedName name="OSRRefH22_1x_0" localSheetId="70">'310 &amp; 491'!$H$39:$H$48</definedName>
    <definedName name="OSRRefH22_1x_0" localSheetId="54">'311'!$H$46:$H$55</definedName>
    <definedName name="OSRRefH22_1x_0" localSheetId="57">'315'!$H$54:$H$63</definedName>
    <definedName name="OSRRefH22_1x_0" localSheetId="60">'316'!$H$36:$H$45</definedName>
    <definedName name="OSRRefH22_1x_0" localSheetId="62">'317'!$H$46:$H$55</definedName>
    <definedName name="OSRRefH22_1x_0" localSheetId="65">'321'!$H$33:$H$42</definedName>
    <definedName name="OSRRefH22_1x_0" localSheetId="67">'325'!$H$35:$H$44</definedName>
    <definedName name="OSRRefH22_1x_0" localSheetId="58">'326'!$H$38:$H$47</definedName>
    <definedName name="OSRRefH22_1x_0" localSheetId="51">'330'!$H$43:$H$52</definedName>
    <definedName name="OSRRefH22_1x_0" localSheetId="56">'331'!$H$54:$H$63</definedName>
    <definedName name="OSRRefH22_1x_0" localSheetId="59">'332'!$H$36:$H$45</definedName>
    <definedName name="OSRRefH22_1x_0" localSheetId="72">'405'!$H$37:$H$46</definedName>
    <definedName name="OSRRefH22_1x_0" localSheetId="73">'406'!$H$22</definedName>
    <definedName name="OSRRefH22_1x_0" localSheetId="74">'411'!$H$30:$H$39</definedName>
    <definedName name="OSRRefH22_1x_0" localSheetId="75">'412'!$H$22</definedName>
    <definedName name="OSRRefH22_1x_0" localSheetId="76">'413'!$H$22</definedName>
    <definedName name="OSRRefH22_1x_0" localSheetId="77">'414'!$H$22</definedName>
    <definedName name="OSRRefH22_1x_0" localSheetId="78">'415'!$H$37:$H$46</definedName>
    <definedName name="OSRRefH22_1x_0" localSheetId="79">'418'!$H$34:$H$43</definedName>
    <definedName name="OSRRefH22_1x_0" localSheetId="80">'423'!$H$29:$H$38</definedName>
    <definedName name="OSRRefH22_1x_0" localSheetId="81">'424'!$H$22</definedName>
    <definedName name="OSRRefH22_1x_0" localSheetId="82">'425'!$H$24</definedName>
    <definedName name="OSRRefH22_1x_0" localSheetId="84">'430'!$H$30:$H$39</definedName>
    <definedName name="OSRRefH22_1x_0" localSheetId="85">'433'!$H$38:$H$47</definedName>
    <definedName name="OSRRefH22_1x_0" localSheetId="86">'444'!$H$38:$H$47</definedName>
    <definedName name="OSRRefH22_1x_0" localSheetId="87">'450'!$H$38:$H$47</definedName>
    <definedName name="OSRRefH22_1x_0" localSheetId="71">'491'!$H$38:$H$47</definedName>
    <definedName name="OSRRefH22_1x_0" localSheetId="83">'492'!$H$38:$H$47</definedName>
    <definedName name="OSRRefH22_1x_0" localSheetId="89">'501'!$H$32:$H$41</definedName>
    <definedName name="OSRRefH22_1x_0" localSheetId="39">'Div 2'!$H$32:$H$41</definedName>
    <definedName name="OSRRefH22_1x_0" localSheetId="47">'Div 3'!$H$69:$H$78</definedName>
    <definedName name="OSRRefH22_1x_0" localSheetId="69">'Div 4'!$H$40:$H$49</definedName>
    <definedName name="OSRRefH22_1x_0" localSheetId="88">'Div 5'!$H$32:$H$41</definedName>
    <definedName name="OSRRefH22_1x_0" localSheetId="61">'Div 6'!$H$46:$H$55</definedName>
    <definedName name="OSRRefH22_1x_0" localSheetId="2">Summary!$H$77:$H$86</definedName>
    <definedName name="OSRRefH22_20x_0" localSheetId="48">'300'!$H$125:$H$131</definedName>
    <definedName name="OSRRefH22_20x_0" localSheetId="49">'300 &amp; 317'!$H$131:$H$137</definedName>
    <definedName name="OSRRefH22_20x_0" localSheetId="50">'301'!$H$89</definedName>
    <definedName name="OSRRefH22_20x_0" localSheetId="56">'331'!$H$112</definedName>
    <definedName name="OSRRefH22_20x_0" localSheetId="47">'Div 3'!$H$129:$H$130</definedName>
    <definedName name="OSRRefH22_20x_0" localSheetId="69">'Div 4'!$H$104</definedName>
    <definedName name="OSRRefH22_20x_0" localSheetId="2">Summary!$H$134:$H$138</definedName>
    <definedName name="OSRRefH22_21x_0" localSheetId="48">'300'!$H$133:$H$134</definedName>
    <definedName name="OSRRefH22_21x_0" localSheetId="49">'300 &amp; 317'!$H$139:$H$140</definedName>
    <definedName name="OSRRefH22_21x_0" localSheetId="50">'301'!$H$91:$H$92</definedName>
    <definedName name="OSRRefH22_21x_0" localSheetId="47">'Div 3'!$H$132:$H$138</definedName>
    <definedName name="OSRRefH22_21x_0" localSheetId="69">'Div 4'!$H$106:$H$107</definedName>
    <definedName name="OSRRefH22_21x_0" localSheetId="2">Summary!$H$140:$H$141</definedName>
    <definedName name="OSRRefH22_22x_0" localSheetId="48">'300'!$H$136</definedName>
    <definedName name="OSRRefH22_22x_0" localSheetId="49">'300 &amp; 317'!$H$142</definedName>
    <definedName name="OSRRefH22_22x_0" localSheetId="50">'301'!$H$94</definedName>
    <definedName name="OSRRefH22_22x_0" localSheetId="47">'Div 3'!$H$140:$H$141</definedName>
    <definedName name="OSRRefH22_22x_0" localSheetId="69">'Div 4'!$H$109</definedName>
    <definedName name="OSRRefH22_22x_0" localSheetId="2">Summary!$H$143:$H$152</definedName>
    <definedName name="OSRRefH22_23x_0" localSheetId="48">'300'!$H$138:$H$140</definedName>
    <definedName name="OSRRefH22_23x_0" localSheetId="49">'300 &amp; 317'!$H$144:$H$146</definedName>
    <definedName name="OSRRefH22_23x_0" localSheetId="47">'Div 3'!$H$143</definedName>
    <definedName name="OSRRefH22_23x_0" localSheetId="2">Summary!$H$154:$H$155</definedName>
    <definedName name="OSRRefH22_24x_0" localSheetId="48">'300'!$H$142</definedName>
    <definedName name="OSRRefH22_24x_0" localSheetId="49">'300 &amp; 317'!$H$148</definedName>
    <definedName name="OSRRefH22_24x_0" localSheetId="47">'Div 3'!$H$145:$H$147</definedName>
    <definedName name="OSRRefH22_24x_0" localSheetId="2">Summary!$H$157</definedName>
    <definedName name="OSRRefH22_25x_0" localSheetId="47">'Div 3'!$H$149</definedName>
    <definedName name="OSRRefH22_25x_0" localSheetId="2">Summary!$H$159:$H$161</definedName>
    <definedName name="OSRRefH22_26x_0" localSheetId="2">Summary!$H$163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'204'!$H$41</definedName>
    <definedName name="OSRRefH22_2x_0" localSheetId="45">'205'!$H$41</definedName>
    <definedName name="OSRRefH22_2x_0" localSheetId="46">'206'!$H$41</definedName>
    <definedName name="OSRRefH22_2x_0" localSheetId="48">'300'!$H$76</definedName>
    <definedName name="OSRRefH22_2x_0" localSheetId="49">'300 &amp; 317'!$H$82</definedName>
    <definedName name="OSRRefH22_2x_0" localSheetId="50">'301'!$H$43</definedName>
    <definedName name="OSRRefH22_2x_0" localSheetId="52">'307'!$H$54</definedName>
    <definedName name="OSRRefH22_2x_0" localSheetId="53">'308'!$H$57</definedName>
    <definedName name="OSRRefH22_2x_0" localSheetId="64">'309'!$H$24:$H$25</definedName>
    <definedName name="OSRRefH22_2x_0" localSheetId="63">'310'!$H$48</definedName>
    <definedName name="OSRRefH22_2x_0" localSheetId="70">'310 &amp; 491'!$H$50</definedName>
    <definedName name="OSRRefH22_2x_0" localSheetId="54">'311'!$H$57</definedName>
    <definedName name="OSRRefH22_2x_0" localSheetId="57">'315'!$H$65</definedName>
    <definedName name="OSRRefH22_2x_0" localSheetId="60">'316'!$H$47</definedName>
    <definedName name="OSRRefH22_2x_0" localSheetId="62">'317'!$H$57</definedName>
    <definedName name="OSRRefH22_2x_0" localSheetId="65">'321'!$H$44</definedName>
    <definedName name="OSRRefH22_2x_0" localSheetId="67">'325'!$H$46</definedName>
    <definedName name="OSRRefH22_2x_0" localSheetId="58">'326'!$H$49</definedName>
    <definedName name="OSRRefH22_2x_0" localSheetId="51">'330'!$H$54</definedName>
    <definedName name="OSRRefH22_2x_0" localSheetId="56">'331'!$H$65</definedName>
    <definedName name="OSRRefH22_2x_0" localSheetId="59">'332'!$H$47</definedName>
    <definedName name="OSRRefH22_2x_0" localSheetId="72">'405'!$H$48</definedName>
    <definedName name="OSRRefH22_2x_0" localSheetId="74">'411'!$H$41</definedName>
    <definedName name="OSRRefH22_2x_0" localSheetId="75">'412'!$H$24</definedName>
    <definedName name="OSRRefH22_2x_0" localSheetId="76">'413'!$H$24</definedName>
    <definedName name="OSRRefH22_2x_0" localSheetId="78">'415'!$H$48</definedName>
    <definedName name="OSRRefH22_2x_0" localSheetId="79">'418'!$H$45</definedName>
    <definedName name="OSRRefH22_2x_0" localSheetId="80">'423'!$H$40</definedName>
    <definedName name="OSRRefH22_2x_0" localSheetId="82">'425'!$H$26</definedName>
    <definedName name="OSRRefH22_2x_0" localSheetId="84">'430'!$H$41</definedName>
    <definedName name="OSRRefH22_2x_0" localSheetId="85">'433'!$H$49</definedName>
    <definedName name="OSRRefH22_2x_0" localSheetId="86">'444'!$H$49</definedName>
    <definedName name="OSRRefH22_2x_0" localSheetId="87">'450'!$H$49</definedName>
    <definedName name="OSRRefH22_2x_0" localSheetId="71">'491'!$H$49</definedName>
    <definedName name="OSRRefH22_2x_0" localSheetId="83">'492'!$H$49</definedName>
    <definedName name="OSRRefH22_2x_0" localSheetId="89">'501'!$H$43</definedName>
    <definedName name="OSRRefH22_2x_0" localSheetId="39">'Div 2'!$H$43</definedName>
    <definedName name="OSRRefH22_2x_0" localSheetId="47">'Div 3'!$H$80</definedName>
    <definedName name="OSRRefH22_2x_0" localSheetId="69">'Div 4'!$H$51</definedName>
    <definedName name="OSRRefH22_2x_0" localSheetId="88">'Div 5'!$H$43</definedName>
    <definedName name="OSRRefH22_2x_0" localSheetId="61">'Div 6'!$H$57</definedName>
    <definedName name="OSRRefH22_2x_0" localSheetId="2">Summary!$H$88</definedName>
    <definedName name="OSRRefH22_3x_0" localSheetId="40">'200'!$H$26:$H$27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'204'!$H$43:$H$44</definedName>
    <definedName name="OSRRefH22_3x_0" localSheetId="45">'205'!$H$43</definedName>
    <definedName name="OSRRefH22_3x_0" localSheetId="46">'206'!$H$43</definedName>
    <definedName name="OSRRefH22_3x_0" localSheetId="48">'300'!$H$78</definedName>
    <definedName name="OSRRefH22_3x_0" localSheetId="49">'300 &amp; 317'!$H$84</definedName>
    <definedName name="OSRRefH22_3x_0" localSheetId="50">'301'!$H$45</definedName>
    <definedName name="OSRRefH22_3x_0" localSheetId="52">'307'!$H$56</definedName>
    <definedName name="OSRRefH22_3x_0" localSheetId="53">'308'!$H$59</definedName>
    <definedName name="OSRRefH22_3x_0" localSheetId="64">'309'!$H$27</definedName>
    <definedName name="OSRRefH22_3x_0" localSheetId="63">'310'!$H$50</definedName>
    <definedName name="OSRRefH22_3x_0" localSheetId="70">'310 &amp; 491'!$H$52</definedName>
    <definedName name="OSRRefH22_3x_0" localSheetId="54">'311'!$H$59</definedName>
    <definedName name="OSRRefH22_3x_0" localSheetId="57">'315'!$H$67</definedName>
    <definedName name="OSRRefH22_3x_0" localSheetId="60">'316'!$H$49</definedName>
    <definedName name="OSRRefH22_3x_0" localSheetId="62">'317'!$H$59</definedName>
    <definedName name="OSRRefH22_3x_0" localSheetId="65">'321'!$H$46</definedName>
    <definedName name="OSRRefH22_3x_0" localSheetId="67">'325'!$H$48</definedName>
    <definedName name="OSRRefH22_3x_0" localSheetId="58">'326'!$H$51</definedName>
    <definedName name="OSRRefH22_3x_0" localSheetId="51">'330'!$H$56</definedName>
    <definedName name="OSRRefH22_3x_0" localSheetId="56">'331'!$H$67</definedName>
    <definedName name="OSRRefH22_3x_0" localSheetId="59">'332'!$H$49</definedName>
    <definedName name="OSRRefH22_3x_0" localSheetId="72">'405'!$H$50</definedName>
    <definedName name="OSRRefH22_3x_0" localSheetId="74">'411'!$H$43:$H$44</definedName>
    <definedName name="OSRRefH22_3x_0" localSheetId="75">'412'!$H$26</definedName>
    <definedName name="OSRRefH22_3x_0" localSheetId="78">'415'!$H$50</definedName>
    <definedName name="OSRRefH22_3x_0" localSheetId="79">'418'!$H$47</definedName>
    <definedName name="OSRRefH22_3x_0" localSheetId="80">'423'!$H$42</definedName>
    <definedName name="OSRRefH22_3x_0" localSheetId="82">'425'!$H$28</definedName>
    <definedName name="OSRRefH22_3x_0" localSheetId="84">'430'!$H$43</definedName>
    <definedName name="OSRRefH22_3x_0" localSheetId="85">'433'!$H$51</definedName>
    <definedName name="OSRRefH22_3x_0" localSheetId="86">'444'!$H$51</definedName>
    <definedName name="OSRRefH22_3x_0" localSheetId="87">'450'!$H$51</definedName>
    <definedName name="OSRRefH22_3x_0" localSheetId="71">'491'!$H$51</definedName>
    <definedName name="OSRRefH22_3x_0" localSheetId="83">'492'!$H$51</definedName>
    <definedName name="OSRRefH22_3x_0" localSheetId="89">'501'!$H$45</definedName>
    <definedName name="OSRRefH22_3x_0" localSheetId="39">'Div 2'!$H$45</definedName>
    <definedName name="OSRRefH22_3x_0" localSheetId="47">'Div 3'!$H$82</definedName>
    <definedName name="OSRRefH22_3x_0" localSheetId="69">'Div 4'!$H$53</definedName>
    <definedName name="OSRRefH22_3x_0" localSheetId="88">'Div 5'!$H$45</definedName>
    <definedName name="OSRRefH22_3x_0" localSheetId="61">'Div 6'!$H$59</definedName>
    <definedName name="OSRRefH22_3x_0" localSheetId="2">Summary!$H$90</definedName>
    <definedName name="OSRRefH22_4x_0" localSheetId="41">'201'!$H$45</definedName>
    <definedName name="OSRRefH22_4x_0" localSheetId="42">'202'!$H$45</definedName>
    <definedName name="OSRRefH22_4x_0" localSheetId="43">'203'!$H$46</definedName>
    <definedName name="OSRRefH22_4x_0" localSheetId="44">'204'!$H$46</definedName>
    <definedName name="OSRRefH22_4x_0" localSheetId="45">'205'!$H$45:$H$46</definedName>
    <definedName name="OSRRefH22_4x_0" localSheetId="46">'206'!$H$45:$H$46</definedName>
    <definedName name="OSRRefH22_4x_0" localSheetId="48">'300'!$H$80</definedName>
    <definedName name="OSRRefH22_4x_0" localSheetId="49">'300 &amp; 317'!$H$86</definedName>
    <definedName name="OSRRefH22_4x_0" localSheetId="50">'301'!$H$47</definedName>
    <definedName name="OSRRefH22_4x_0" localSheetId="52">'307'!$H$58</definedName>
    <definedName name="OSRRefH22_4x_0" localSheetId="53">'308'!$H$61</definedName>
    <definedName name="OSRRefH22_4x_0" localSheetId="63">'310'!$H$52</definedName>
    <definedName name="OSRRefH22_4x_0" localSheetId="70">'310 &amp; 491'!$H$54</definedName>
    <definedName name="OSRRefH22_4x_0" localSheetId="54">'311'!$H$61</definedName>
    <definedName name="OSRRefH22_4x_0" localSheetId="57">'315'!$H$69</definedName>
    <definedName name="OSRRefH22_4x_0" localSheetId="60">'316'!$H$51</definedName>
    <definedName name="OSRRefH22_4x_0" localSheetId="62">'317'!$H$61</definedName>
    <definedName name="OSRRefH22_4x_0" localSheetId="65">'321'!$H$48</definedName>
    <definedName name="OSRRefH22_4x_0" localSheetId="67">'325'!$H$50</definedName>
    <definedName name="OSRRefH22_4x_0" localSheetId="58">'326'!$H$53</definedName>
    <definedName name="OSRRefH22_4x_0" localSheetId="51">'330'!$H$58</definedName>
    <definedName name="OSRRefH22_4x_0" localSheetId="56">'331'!$H$69</definedName>
    <definedName name="OSRRefH22_4x_0" localSheetId="59">'332'!$H$51</definedName>
    <definedName name="OSRRefH22_4x_0" localSheetId="72">'405'!$H$52</definedName>
    <definedName name="OSRRefH22_4x_0" localSheetId="74">'411'!$H$46</definedName>
    <definedName name="OSRRefH22_4x_0" localSheetId="78">'415'!$H$52</definedName>
    <definedName name="OSRRefH22_4x_0" localSheetId="79">'418'!$H$49:$H$50</definedName>
    <definedName name="OSRRefH22_4x_0" localSheetId="80">'423'!$H$44</definedName>
    <definedName name="OSRRefH22_4x_0" localSheetId="82">'425'!$H$30</definedName>
    <definedName name="OSRRefH22_4x_0" localSheetId="84">'430'!$H$45</definedName>
    <definedName name="OSRRefH22_4x_0" localSheetId="85">'433'!$H$53</definedName>
    <definedName name="OSRRefH22_4x_0" localSheetId="86">'444'!$H$53</definedName>
    <definedName name="OSRRefH22_4x_0" localSheetId="87">'450'!$H$53</definedName>
    <definedName name="OSRRefH22_4x_0" localSheetId="71">'491'!$H$53</definedName>
    <definedName name="OSRRefH22_4x_0" localSheetId="83">'492'!$H$53</definedName>
    <definedName name="OSRRefH22_4x_0" localSheetId="89">'501'!$H$47</definedName>
    <definedName name="OSRRefH22_4x_0" localSheetId="39">'Div 2'!$H$47</definedName>
    <definedName name="OSRRefH22_4x_0" localSheetId="47">'Div 3'!$H$84</definedName>
    <definedName name="OSRRefH22_4x_0" localSheetId="69">'Div 4'!$H$55</definedName>
    <definedName name="OSRRefH22_4x_0" localSheetId="88">'Div 5'!$H$47</definedName>
    <definedName name="OSRRefH22_4x_0" localSheetId="61">'Div 6'!$H$61</definedName>
    <definedName name="OSRRefH22_4x_0" localSheetId="2">Summary!$H$92</definedName>
    <definedName name="OSRRefH22_5x_0" localSheetId="41">'201'!$H$47</definedName>
    <definedName name="OSRRefH22_5x_0" localSheetId="42">'202'!$H$47</definedName>
    <definedName name="OSRRefH22_5x_0" localSheetId="43">'203'!$H$48</definedName>
    <definedName name="OSRRefH22_5x_0" localSheetId="44">'204'!$H$48:$H$51</definedName>
    <definedName name="OSRRefH22_5x_0" localSheetId="45">'205'!$H$48</definedName>
    <definedName name="OSRRefH22_5x_0" localSheetId="46">'206'!$H$48</definedName>
    <definedName name="OSRRefH22_5x_0" localSheetId="48">'300'!$H$82:$H$83</definedName>
    <definedName name="OSRRefH22_5x_0" localSheetId="49">'300 &amp; 317'!$H$88:$H$89</definedName>
    <definedName name="OSRRefH22_5x_0" localSheetId="50">'301'!$H$49:$H$50</definedName>
    <definedName name="OSRRefH22_5x_0" localSheetId="52">'307'!$H$60:$H$61</definedName>
    <definedName name="OSRRefH22_5x_0" localSheetId="53">'308'!$H$63</definedName>
    <definedName name="OSRRefH22_5x_0" localSheetId="63">'310'!$H$54:$H$55</definedName>
    <definedName name="OSRRefH22_5x_0" localSheetId="70">'310 &amp; 491'!$H$56:$H$57</definedName>
    <definedName name="OSRRefH22_5x_0" localSheetId="54">'311'!$H$63</definedName>
    <definedName name="OSRRefH22_5x_0" localSheetId="57">'315'!$H$71</definedName>
    <definedName name="OSRRefH22_5x_0" localSheetId="60">'316'!$H$53:$H$54</definedName>
    <definedName name="OSRRefH22_5x_0" localSheetId="62">'317'!$H$63</definedName>
    <definedName name="OSRRefH22_5x_0" localSheetId="65">'321'!$H$50</definedName>
    <definedName name="OSRRefH22_5x_0" localSheetId="67">'325'!$H$52:$H$53</definedName>
    <definedName name="OSRRefH22_5x_0" localSheetId="58">'326'!$H$55</definedName>
    <definedName name="OSRRefH22_5x_0" localSheetId="51">'330'!$H$60:$H$61</definedName>
    <definedName name="OSRRefH22_5x_0" localSheetId="56">'331'!$H$71</definedName>
    <definedName name="OSRRefH22_5x_0" localSheetId="59">'332'!$H$53:$H$54</definedName>
    <definedName name="OSRRefH22_5x_0" localSheetId="72">'405'!$H$54:$H$55</definedName>
    <definedName name="OSRRefH22_5x_0" localSheetId="74">'411'!$H$48</definedName>
    <definedName name="OSRRefH22_5x_0" localSheetId="78">'415'!$H$54:$H$55</definedName>
    <definedName name="OSRRefH22_5x_0" localSheetId="79">'418'!$H$52</definedName>
    <definedName name="OSRRefH22_5x_0" localSheetId="80">'423'!$H$46</definedName>
    <definedName name="OSRRefH22_5x_0" localSheetId="82">'425'!$H$32</definedName>
    <definedName name="OSRRefH22_5x_0" localSheetId="84">'430'!$H$47:$H$48</definedName>
    <definedName name="OSRRefH22_5x_0" localSheetId="85">'433'!$H$55</definedName>
    <definedName name="OSRRefH22_5x_0" localSheetId="86">'444'!$H$55</definedName>
    <definedName name="OSRRefH22_5x_0" localSheetId="87">'450'!$H$55</definedName>
    <definedName name="OSRRefH22_5x_0" localSheetId="71">'491'!$H$55:$H$56</definedName>
    <definedName name="OSRRefH22_5x_0" localSheetId="83">'492'!$H$55</definedName>
    <definedName name="OSRRefH22_5x_0" localSheetId="89">'501'!$H$49:$H$50</definedName>
    <definedName name="OSRRefH22_5x_0" localSheetId="39">'Div 2'!$H$49:$H$50</definedName>
    <definedName name="OSRRefH22_5x_0" localSheetId="47">'Div 3'!$H$86:$H$87</definedName>
    <definedName name="OSRRefH22_5x_0" localSheetId="69">'Div 4'!$H$57:$H$58</definedName>
    <definedName name="OSRRefH22_5x_0" localSheetId="88">'Div 5'!$H$49:$H$50</definedName>
    <definedName name="OSRRefH22_5x_0" localSheetId="61">'Div 6'!$H$63</definedName>
    <definedName name="OSRRefH22_5x_0" localSheetId="2">Summary!$H$94:$H$95</definedName>
    <definedName name="OSRRefH22_6x_0" localSheetId="41">'201'!$H$49</definedName>
    <definedName name="OSRRefH22_6x_0" localSheetId="42">'202'!$H$49:$H$51</definedName>
    <definedName name="OSRRefH22_6x_0" localSheetId="43">'203'!$H$50</definedName>
    <definedName name="OSRRefH22_6x_0" localSheetId="44">'204'!$H$53</definedName>
    <definedName name="OSRRefH22_6x_0" localSheetId="45">'205'!$H$50:$H$52</definedName>
    <definedName name="OSRRefH22_6x_0" localSheetId="46">'206'!$H$50:$H$51</definedName>
    <definedName name="OSRRefH22_6x_0" localSheetId="48">'300'!$H$85:$H$86</definedName>
    <definedName name="OSRRefH22_6x_0" localSheetId="49">'300 &amp; 317'!$H$91:$H$92</definedName>
    <definedName name="OSRRefH22_6x_0" localSheetId="50">'301'!$H$52</definedName>
    <definedName name="OSRRefH22_6x_0" localSheetId="52">'307'!$H$63</definedName>
    <definedName name="OSRRefH22_6x_0" localSheetId="53">'308'!$H$65</definedName>
    <definedName name="OSRRefH22_6x_0" localSheetId="63">'310'!$H$57</definedName>
    <definedName name="OSRRefH22_6x_0" localSheetId="70">'310 &amp; 491'!$H$59</definedName>
    <definedName name="OSRRefH22_6x_0" localSheetId="54">'311'!$H$65</definedName>
    <definedName name="OSRRefH22_6x_0" localSheetId="57">'315'!$H$73</definedName>
    <definedName name="OSRRefH22_6x_0" localSheetId="60">'316'!$H$56</definedName>
    <definedName name="OSRRefH22_6x_0" localSheetId="62">'317'!$H$65</definedName>
    <definedName name="OSRRefH22_6x_0" localSheetId="65">'321'!$H$52:$H$53</definedName>
    <definedName name="OSRRefH22_6x_0" localSheetId="67">'325'!$H$55</definedName>
    <definedName name="OSRRefH22_6x_0" localSheetId="58">'326'!$H$57</definedName>
    <definedName name="OSRRefH22_6x_0" localSheetId="51">'330'!$H$63</definedName>
    <definedName name="OSRRefH22_6x_0" localSheetId="56">'331'!$H$73</definedName>
    <definedName name="OSRRefH22_6x_0" localSheetId="59">'332'!$H$56</definedName>
    <definedName name="OSRRefH22_6x_0" localSheetId="72">'405'!$H$57</definedName>
    <definedName name="OSRRefH22_6x_0" localSheetId="74">'411'!$H$50</definedName>
    <definedName name="OSRRefH22_6x_0" localSheetId="78">'415'!$H$57</definedName>
    <definedName name="OSRRefH22_6x_0" localSheetId="79">'418'!$H$54</definedName>
    <definedName name="OSRRefH22_6x_0" localSheetId="84">'430'!$H$50:$H$51</definedName>
    <definedName name="OSRRefH22_6x_0" localSheetId="85">'433'!$H$57</definedName>
    <definedName name="OSRRefH22_6x_0" localSheetId="86">'444'!$H$57</definedName>
    <definedName name="OSRRefH22_6x_0" localSheetId="87">'450'!$H$57</definedName>
    <definedName name="OSRRefH22_6x_0" localSheetId="71">'491'!$H$58</definedName>
    <definedName name="OSRRefH22_6x_0" localSheetId="83">'492'!$H$57</definedName>
    <definedName name="OSRRefH22_6x_0" localSheetId="89">'501'!$H$52</definedName>
    <definedName name="OSRRefH22_6x_0" localSheetId="39">'Div 2'!$H$52</definedName>
    <definedName name="OSRRefH22_6x_0" localSheetId="47">'Div 3'!$H$89:$H$90</definedName>
    <definedName name="OSRRefH22_6x_0" localSheetId="69">'Div 4'!$H$60</definedName>
    <definedName name="OSRRefH22_6x_0" localSheetId="88">'Div 5'!$H$52</definedName>
    <definedName name="OSRRefH22_6x_0" localSheetId="61">'Div 6'!$H$65</definedName>
    <definedName name="OSRRefH22_6x_0" localSheetId="2">Summary!$H$97:$H$98</definedName>
    <definedName name="OSRRefH22_7x_0" localSheetId="41">'201'!$H$51</definedName>
    <definedName name="OSRRefH22_7x_0" localSheetId="42">'202'!$H$53</definedName>
    <definedName name="OSRRefH22_7x_0" localSheetId="43">'203'!$H$52</definedName>
    <definedName name="OSRRefH22_7x_0" localSheetId="44">'204'!$H$55:$H$56</definedName>
    <definedName name="OSRRefH22_7x_0" localSheetId="45">'205'!$H$54</definedName>
    <definedName name="OSRRefH22_7x_0" localSheetId="46">'206'!$H$53</definedName>
    <definedName name="OSRRefH22_7x_0" localSheetId="48">'300'!$H$88</definedName>
    <definedName name="OSRRefH22_7x_0" localSheetId="49">'300 &amp; 317'!$H$94</definedName>
    <definedName name="OSRRefH22_7x_0" localSheetId="50">'301'!$H$54</definedName>
    <definedName name="OSRRefH22_7x_0" localSheetId="52">'307'!$H$65</definedName>
    <definedName name="OSRRefH22_7x_0" localSheetId="53">'308'!$H$67</definedName>
    <definedName name="OSRRefH22_7x_0" localSheetId="63">'310'!$H$59</definedName>
    <definedName name="OSRRefH22_7x_0" localSheetId="70">'310 &amp; 491'!$H$61</definedName>
    <definedName name="OSRRefH22_7x_0" localSheetId="54">'311'!$H$67</definedName>
    <definedName name="OSRRefH22_7x_0" localSheetId="57">'315'!$H$75:$H$76</definedName>
    <definedName name="OSRRefH22_7x_0" localSheetId="60">'316'!$H$58:$H$60</definedName>
    <definedName name="OSRRefH22_7x_0" localSheetId="62">'317'!$H$67</definedName>
    <definedName name="OSRRefH22_7x_0" localSheetId="65">'321'!$H$55</definedName>
    <definedName name="OSRRefH22_7x_0" localSheetId="67">'325'!$H$57</definedName>
    <definedName name="OSRRefH22_7x_0" localSheetId="58">'326'!$H$59</definedName>
    <definedName name="OSRRefH22_7x_0" localSheetId="51">'330'!$H$65</definedName>
    <definedName name="OSRRefH22_7x_0" localSheetId="56">'331'!$H$75:$H$76</definedName>
    <definedName name="OSRRefH22_7x_0" localSheetId="59">'332'!$H$58:$H$60</definedName>
    <definedName name="OSRRefH22_7x_0" localSheetId="72">'405'!$H$59</definedName>
    <definedName name="OSRRefH22_7x_0" localSheetId="74">'411'!$H$52</definedName>
    <definedName name="OSRRefH22_7x_0" localSheetId="78">'415'!$H$59</definedName>
    <definedName name="OSRRefH22_7x_0" localSheetId="79">'418'!$H$56</definedName>
    <definedName name="OSRRefH22_7x_0" localSheetId="84">'430'!$H$53</definedName>
    <definedName name="OSRRefH22_7x_0" localSheetId="85">'433'!$H$59</definedName>
    <definedName name="OSRRefH22_7x_0" localSheetId="86">'444'!$H$59</definedName>
    <definedName name="OSRRefH22_7x_0" localSheetId="87">'450'!$H$59</definedName>
    <definedName name="OSRRefH22_7x_0" localSheetId="71">'491'!$H$60</definedName>
    <definedName name="OSRRefH22_7x_0" localSheetId="83">'492'!$H$59</definedName>
    <definedName name="OSRRefH22_7x_0" localSheetId="89">'501'!$H$54</definedName>
    <definedName name="OSRRefH22_7x_0" localSheetId="39">'Div 2'!$H$54</definedName>
    <definedName name="OSRRefH22_7x_0" localSheetId="47">'Div 3'!$H$92</definedName>
    <definedName name="OSRRefH22_7x_0" localSheetId="69">'Div 4'!$H$62</definedName>
    <definedName name="OSRRefH22_7x_0" localSheetId="88">'Div 5'!$H$54</definedName>
    <definedName name="OSRRefH22_7x_0" localSheetId="61">'Div 6'!$H$67</definedName>
    <definedName name="OSRRefH22_7x_0" localSheetId="2">Summary!$H$100</definedName>
    <definedName name="OSRRefH22_8x_0" localSheetId="41">'201'!$H$53:$H$54</definedName>
    <definedName name="OSRRefH22_8x_0" localSheetId="42">'202'!$H$55</definedName>
    <definedName name="OSRRefH22_8x_0" localSheetId="43">'203'!$H$54:$H$56</definedName>
    <definedName name="OSRRefH22_8x_0" localSheetId="48">'300'!$H$90</definedName>
    <definedName name="OSRRefH22_8x_0" localSheetId="49">'300 &amp; 317'!$H$96</definedName>
    <definedName name="OSRRefH22_8x_0" localSheetId="50">'301'!$H$56</definedName>
    <definedName name="OSRRefH22_8x_0" localSheetId="52">'307'!$H$67</definedName>
    <definedName name="OSRRefH22_8x_0" localSheetId="53">'308'!$H$69:$H$71</definedName>
    <definedName name="OSRRefH22_8x_0" localSheetId="63">'310'!$H$61</definedName>
    <definedName name="OSRRefH22_8x_0" localSheetId="70">'310 &amp; 491'!$H$63</definedName>
    <definedName name="OSRRefH22_8x_0" localSheetId="54">'311'!$H$69:$H$71</definedName>
    <definedName name="OSRRefH22_8x_0" localSheetId="57">'315'!$H$78</definedName>
    <definedName name="OSRRefH22_8x_0" localSheetId="60">'316'!$H$62</definedName>
    <definedName name="OSRRefH22_8x_0" localSheetId="62">'317'!$H$69:$H$70</definedName>
    <definedName name="OSRRefH22_8x_0" localSheetId="65">'321'!$H$57:$H$58</definedName>
    <definedName name="OSRRefH22_8x_0" localSheetId="67">'325'!$H$59</definedName>
    <definedName name="OSRRefH22_8x_0" localSheetId="58">'326'!$H$61</definedName>
    <definedName name="OSRRefH22_8x_0" localSheetId="51">'330'!$H$67</definedName>
    <definedName name="OSRRefH22_8x_0" localSheetId="56">'331'!$H$78:$H$79</definedName>
    <definedName name="OSRRefH22_8x_0" localSheetId="59">'332'!$H$62</definedName>
    <definedName name="OSRRefH22_8x_0" localSheetId="72">'405'!$H$61</definedName>
    <definedName name="OSRRefH22_8x_0" localSheetId="74">'411'!$H$54:$H$56</definedName>
    <definedName name="OSRRefH22_8x_0" localSheetId="78">'415'!$H$61</definedName>
    <definedName name="OSRRefH22_8x_0" localSheetId="79">'418'!$H$58:$H$59</definedName>
    <definedName name="OSRRefH22_8x_0" localSheetId="84">'430'!$H$55</definedName>
    <definedName name="OSRRefH22_8x_0" localSheetId="85">'433'!$H$61</definedName>
    <definedName name="OSRRefH22_8x_0" localSheetId="86">'444'!$H$61</definedName>
    <definedName name="OSRRefH22_8x_0" localSheetId="87">'450'!$H$61</definedName>
    <definedName name="OSRRefH22_8x_0" localSheetId="71">'491'!$H$62</definedName>
    <definedName name="OSRRefH22_8x_0" localSheetId="83">'492'!$H$61</definedName>
    <definedName name="OSRRefH22_8x_0" localSheetId="89">'501'!$H$56</definedName>
    <definedName name="OSRRefH22_8x_0" localSheetId="39">'Div 2'!$H$56</definedName>
    <definedName name="OSRRefH22_8x_0" localSheetId="47">'Div 3'!$H$94</definedName>
    <definedName name="OSRRefH22_8x_0" localSheetId="69">'Div 4'!$H$64</definedName>
    <definedName name="OSRRefH22_8x_0" localSheetId="88">'Div 5'!$H$56</definedName>
    <definedName name="OSRRefH22_8x_0" localSheetId="61">'Div 6'!$H$69:$H$70</definedName>
    <definedName name="OSRRefH22_8x_0" localSheetId="2">Summary!$H$102</definedName>
    <definedName name="OSRRefH22_9x_0" localSheetId="41">'201'!$H$56:$H$57</definedName>
    <definedName name="OSRRefH22_9x_0" localSheetId="42">'202'!$H$57</definedName>
    <definedName name="OSRRefH22_9x_0" localSheetId="43">'203'!$H$58:$H$59</definedName>
    <definedName name="OSRRefH22_9x_0" localSheetId="48">'300'!$H$92</definedName>
    <definedName name="OSRRefH22_9x_0" localSheetId="49">'300 &amp; 317'!$H$98</definedName>
    <definedName name="OSRRefH22_9x_0" localSheetId="50">'301'!$H$58</definedName>
    <definedName name="OSRRefH22_9x_0" localSheetId="52">'307'!$H$69:$H$70</definedName>
    <definedName name="OSRRefH22_9x_0" localSheetId="53">'308'!$H$73</definedName>
    <definedName name="OSRRefH22_9x_0" localSheetId="63">'310'!$H$63</definedName>
    <definedName name="OSRRefH22_9x_0" localSheetId="70">'310 &amp; 491'!$H$65</definedName>
    <definedName name="OSRRefH22_9x_0" localSheetId="54">'311'!$H$73</definedName>
    <definedName name="OSRRefH22_9x_0" localSheetId="57">'315'!$H$80</definedName>
    <definedName name="OSRRefH22_9x_0" localSheetId="60">'316'!$H$64:$H$67</definedName>
    <definedName name="OSRRefH22_9x_0" localSheetId="62">'317'!$H$72</definedName>
    <definedName name="OSRRefH22_9x_0" localSheetId="65">'321'!$H$60:$H$63</definedName>
    <definedName name="OSRRefH22_9x_0" localSheetId="67">'325'!$H$61</definedName>
    <definedName name="OSRRefH22_9x_0" localSheetId="58">'326'!$H$63</definedName>
    <definedName name="OSRRefH22_9x_0" localSheetId="51">'330'!$H$69:$H$70</definedName>
    <definedName name="OSRRefH22_9x_0" localSheetId="56">'331'!$H$81</definedName>
    <definedName name="OSRRefH22_9x_0" localSheetId="59">'332'!$H$64:$H$67</definedName>
    <definedName name="OSRRefH22_9x_0" localSheetId="72">'405'!$H$63:$H$64</definedName>
    <definedName name="OSRRefH22_9x_0" localSheetId="74">'411'!$H$58:$H$60</definedName>
    <definedName name="OSRRefH22_9x_0" localSheetId="78">'415'!$H$63</definedName>
    <definedName name="OSRRefH22_9x_0" localSheetId="79">'418'!$H$61:$H$64</definedName>
    <definedName name="OSRRefH22_9x_0" localSheetId="85">'433'!$H$63</definedName>
    <definedName name="OSRRefH22_9x_0" localSheetId="86">'444'!$H$63</definedName>
    <definedName name="OSRRefH22_9x_0" localSheetId="87">'450'!$H$63</definedName>
    <definedName name="OSRRefH22_9x_0" localSheetId="71">'491'!$H$64</definedName>
    <definedName name="OSRRefH22_9x_0" localSheetId="83">'492'!$H$63</definedName>
    <definedName name="OSRRefH22_9x_0" localSheetId="89">'501'!$H$58:$H$60</definedName>
    <definedName name="OSRRefH22_9x_0" localSheetId="39">'Div 2'!$H$58</definedName>
    <definedName name="OSRRefH22_9x_0" localSheetId="47">'Div 3'!$H$96</definedName>
    <definedName name="OSRRefH22_9x_0" localSheetId="69">'Div 4'!$H$66</definedName>
    <definedName name="OSRRefH22_9x_0" localSheetId="88">'Div 5'!$H$58:$H$60</definedName>
    <definedName name="OSRRefH22_9x_0" localSheetId="61">'Div 6'!$H$72</definedName>
    <definedName name="OSRRefH22_9x_0" localSheetId="2">Summary!$H$104</definedName>
    <definedName name="OSRRefH22x_0" localSheetId="40">'200'!$H$20,'200'!$H$22,'200'!$H$24,'200'!$H$26:$H$27</definedName>
    <definedName name="OSRRefH22x_0" localSheetId="41">'201'!$H$20:$H$28,'201'!$H$30:$H$39,'201'!$H$41,'201'!$H$43,'201'!$H$45,'201'!$H$47,'201'!$H$49,'201'!$H$51,'201'!$H$53:$H$54,'201'!$H$56:$H$57,'201'!$H$59,'201'!$H$61:$H$62,'201'!$H$64,'201'!$H$66</definedName>
    <definedName name="OSRRefH22x_0" localSheetId="42">'202'!$H$20:$H$28,'202'!$H$30:$H$39,'202'!$H$41,'202'!$H$43,'202'!$H$45,'202'!$H$47,'202'!$H$49:$H$51,'202'!$H$53,'202'!$H$55,'202'!$H$57,'202'!$H$59,'202'!$H$61</definedName>
    <definedName name="OSRRefH22x_0" localSheetId="43">'203'!$H$20:$H$29,'203'!$H$31:$H$40,'203'!$H$42,'203'!$H$44,'203'!$H$46,'203'!$H$48,'203'!$H$50,'203'!$H$52,'203'!$H$54:$H$56,'203'!$H$58:$H$59,'203'!$H$61,'203'!$H$63:$H$66,'203'!$H$68,'203'!$H$70</definedName>
    <definedName name="OSRRefH22x_0" localSheetId="44">'204'!$H$20:$H$28,'204'!$H$30:$H$39,'204'!$H$41,'204'!$H$43:$H$44,'204'!$H$46,'204'!$H$48:$H$51,'204'!$H$53,'204'!$H$55:$H$56</definedName>
    <definedName name="OSRRefH22x_0" localSheetId="45">'205'!$H$20:$H$28,'205'!$H$30:$H$39,'205'!$H$41,'205'!$H$43,'205'!$H$45:$H$46,'205'!$H$48,'205'!$H$50:$H$52,'205'!$H$54</definedName>
    <definedName name="OSRRefH22x_0" localSheetId="46">'206'!$H$20:$H$28,'206'!$H$30:$H$39,'206'!$H$41,'206'!$H$43,'206'!$H$45:$H$46,'206'!$H$48,'206'!$H$50:$H$51,'206'!$H$53</definedName>
    <definedName name="OSRRefH22x_0" localSheetId="48">'300'!$H$54:$H$63,'300'!$H$65:$H$74,'300'!$H$76,'300'!$H$78,'300'!$H$80,'300'!$H$82:$H$83,'300'!$H$85:$H$86,'300'!$H$88,'300'!$H$90,'300'!$H$92,'300'!$H$94:$H$95,'300'!$H$97:$H$98,'300'!$H$100,'300'!$H$102,'300'!$H$104,'300'!$H$106,'300'!$H$108:$H$111,'300'!$H$113:$H$116,'300'!$H$118:$H$120,'300'!$H$122:$H$123,'300'!$H$125:$H$131,'300'!$H$133:$H$134,'300'!$H$136,'300'!$H$138:$H$140,'300'!$H$142</definedName>
    <definedName name="OSRRefH22x_0" localSheetId="49">'300 &amp; 317'!$H$60:$H$69,'300 &amp; 317'!$H$71:$H$80,'300 &amp; 317'!$H$82,'300 &amp; 317'!$H$84,'300 &amp; 317'!$H$86,'300 &amp; 317'!$H$88:$H$89,'300 &amp; 317'!$H$91:$H$92,'300 &amp; 317'!$H$94,'300 &amp; 317'!$H$96,'300 &amp; 317'!$H$98,'300 &amp; 317'!$H$100:$H$101,'300 &amp; 317'!$H$103:$H$104,'300 &amp; 317'!$H$106,'300 &amp; 317'!$H$108,'300 &amp; 317'!$H$110,'300 &amp; 317'!$H$112,'300 &amp; 317'!$H$114:$H$117,'300 &amp; 317'!$H$119:$H$122,'300 &amp; 317'!$H$124:$H$126,'300 &amp; 317'!$H$128:$H$129,'300 &amp; 317'!$H$131:$H$137,'300 &amp; 317'!$H$139:$H$140,'300 &amp; 317'!$H$142,'300 &amp; 317'!$H$144:$H$146,'300 &amp; 317'!$H$148</definedName>
    <definedName name="OSRRefH22x_0" localSheetId="50">'301'!$H$21:$H$30,'301'!$H$32:$H$41,'301'!$H$43,'301'!$H$45,'301'!$H$47,'301'!$H$49:$H$50,'301'!$H$52,'301'!$H$54,'301'!$H$56,'301'!$H$58,'301'!$H$60,'301'!$H$62,'301'!$H$64,'301'!$H$66,'301'!$H$68,'301'!$H$70:$H$73,'301'!$H$75:$H$76,'301'!$H$78,'301'!$H$80:$H$85,'301'!$H$87,'301'!$H$89,'301'!$H$91:$H$92,'301'!$H$94</definedName>
    <definedName name="OSRRefH22x_0" localSheetId="52">'307'!$H$34:$H$41,'307'!$H$43:$H$52,'307'!$H$54,'307'!$H$56,'307'!$H$58,'307'!$H$60:$H$61,'307'!$H$63,'307'!$H$65,'307'!$H$67,'307'!$H$69:$H$70,'307'!$H$72:$H$73,'307'!$H$75:$H$78,'307'!$H$80</definedName>
    <definedName name="OSRRefH22x_0" localSheetId="53">'308'!$H$35:$H$44,'308'!$H$46:$H$55,'308'!$H$57,'308'!$H$59,'308'!$H$61,'308'!$H$63,'308'!$H$65,'308'!$H$67,'308'!$H$69:$H$71,'308'!$H$73,'308'!$H$75:$H$76,'308'!$H$78:$H$79</definedName>
    <definedName name="OSRRefH22x_0" localSheetId="64">'309'!$H$20,'309'!$H$22,'309'!$H$24:$H$25,'309'!$H$27</definedName>
    <definedName name="OSRRefH22x_0" localSheetId="63">'310'!$H$27:$H$35,'310'!$H$37:$H$46,'310'!$H$48,'310'!$H$50,'310'!$H$52,'310'!$H$54:$H$55,'310'!$H$57,'310'!$H$59,'310'!$H$61,'310'!$H$63,'310'!$H$65:$H$67,'310'!$H$69,'310'!$H$71:$H$73,'310'!$H$75:$H$79,'310'!$H$81:$H$82,'310'!$H$84,'310'!$H$86</definedName>
    <definedName name="OSRRefH22x_0" localSheetId="70">'310 &amp; 491'!$H$29:$H$37,'310 &amp; 491'!$H$39:$H$48,'310 &amp; 491'!$H$50,'310 &amp; 491'!$H$52,'310 &amp; 491'!$H$54,'310 &amp; 491'!$H$56:$H$57,'310 &amp; 491'!$H$59,'310 &amp; 491'!$H$61,'310 &amp; 491'!$H$63,'310 &amp; 491'!$H$65,'310 &amp; 491'!$H$67,'310 &amp; 491'!$H$69,'310 &amp; 491'!$H$71:$H$73,'310 &amp; 491'!$H$75:$H$76,'310 &amp; 491'!$H$78:$H$82,'310 &amp; 491'!$H$84,'310 &amp; 491'!$H$86:$H$95,'310 &amp; 491'!$H$97:$H$98,'310 &amp; 491'!$H$100,'310 &amp; 491'!$H$102</definedName>
    <definedName name="OSRRefH22x_0" localSheetId="54">'311'!$H$35:$H$44,'311'!$H$46:$H$55,'311'!$H$57,'311'!$H$59,'311'!$H$61,'311'!$H$63,'311'!$H$65,'311'!$H$67,'311'!$H$69:$H$71,'311'!$H$73,'311'!$H$75:$H$76,'311'!$H$78:$H$79</definedName>
    <definedName name="OSRRefH22x_0" localSheetId="57">'315'!$H$44:$H$52,'315'!$H$54:$H$63,'315'!$H$65,'315'!$H$67,'315'!$H$69,'315'!$H$71,'315'!$H$73,'315'!$H$75:$H$76,'315'!$H$78,'315'!$H$80,'315'!$H$82,'315'!$H$84:$H$85,'315'!$H$87:$H$89,'315'!$H$91:$H$92,'315'!$H$94:$H$96,'315'!$H$98,'315'!$H$100</definedName>
    <definedName name="OSRRefH22x_0" localSheetId="60">'316'!$H$26:$H$34,'316'!$H$36:$H$45,'316'!$H$47,'316'!$H$49,'316'!$H$51,'316'!$H$53:$H$54,'316'!$H$56,'316'!$H$58:$H$60,'316'!$H$62,'316'!$H$64:$H$67,'316'!$H$69</definedName>
    <definedName name="OSRRefH22x_0" localSheetId="62">'317'!$H$35:$H$44,'317'!$H$46:$H$55,'317'!$H$57,'317'!$H$59,'317'!$H$61,'317'!$H$63,'317'!$H$65,'317'!$H$67,'317'!$H$69:$H$70,'317'!$H$72</definedName>
    <definedName name="OSRRefH22x_0" localSheetId="65">'321'!$H$23:$H$31,'321'!$H$33:$H$42,'321'!$H$44,'321'!$H$46,'321'!$H$48,'321'!$H$50,'321'!$H$52:$H$53,'321'!$H$55,'321'!$H$57:$H$58,'321'!$H$60:$H$63,'321'!$H$65,'321'!$H$67</definedName>
    <definedName name="OSRRefH22x_0" localSheetId="66">'322'!$H$20</definedName>
    <definedName name="OSRRefH22x_0" localSheetId="67">'325'!$H$25:$H$33,'325'!$H$35:$H$44,'325'!$H$46,'325'!$H$48,'325'!$H$50,'325'!$H$52:$H$53,'325'!$H$55,'325'!$H$57,'325'!$H$59,'325'!$H$61,'325'!$H$63:$H$65,'325'!$H$67:$H$69,'325'!$H$71:$H$75,'325'!$H$77:$H$78,'325'!$H$80</definedName>
    <definedName name="OSRRefH22x_0" localSheetId="58">'326'!$H$28:$H$36,'326'!$H$38:$H$47,'326'!$H$49,'326'!$H$51,'326'!$H$53,'326'!$H$55,'326'!$H$57,'326'!$H$59,'326'!$H$61,'326'!$H$63,'326'!$H$65,'326'!$H$67:$H$68,'326'!$H$70:$H$71,'326'!$H$73:$H$74,'326'!$H$76:$H$78,'326'!$H$80,'326'!$H$82:$H$83,'326'!$H$85</definedName>
    <definedName name="OSRRefH22x_0" localSheetId="68">'327'!$H$26</definedName>
    <definedName name="OSRRefH22x_0" localSheetId="51">'330'!$H$34:$H$41,'330'!$H$43:$H$52,'330'!$H$54,'330'!$H$56,'330'!$H$58,'330'!$H$60:$H$61,'330'!$H$63,'330'!$H$65,'330'!$H$67,'330'!$H$69:$H$70,'330'!$H$72:$H$73,'330'!$H$75:$H$78,'330'!$H$80</definedName>
    <definedName name="OSRRefH22x_0" localSheetId="56">'331'!$H$44:$H$52,'331'!$H$54:$H$63,'331'!$H$65,'331'!$H$67,'331'!$H$69,'331'!$H$71,'331'!$H$73,'331'!$H$75:$H$76,'331'!$H$78:$H$79,'331'!$H$81,'331'!$H$83,'331'!$H$85,'331'!$H$87,'331'!$H$89:$H$90,'331'!$H$92:$H$94,'331'!$H$96:$H$97,'331'!$H$99:$H$100,'331'!$H$102:$H$105,'331'!$H$107,'331'!$H$109:$H$110,'331'!$H$112</definedName>
    <definedName name="OSRRefH22x_0" localSheetId="59">'332'!$H$26:$H$34,'332'!$H$36:$H$45,'332'!$H$47,'332'!$H$49,'332'!$H$51,'332'!$H$53:$H$54,'332'!$H$56,'332'!$H$58:$H$60,'332'!$H$62,'332'!$H$64:$H$67,'332'!$H$69</definedName>
    <definedName name="OSRRefH22x_0" localSheetId="72">'405'!$H$27:$H$35,'405'!$H$37:$H$46,'405'!$H$48,'405'!$H$50,'405'!$H$52,'405'!$H$54:$H$55,'405'!$H$57,'405'!$H$59,'405'!$H$61,'405'!$H$63:$H$64,'405'!$H$66:$H$69,'405'!$H$71,'405'!$H$73:$H$80,'405'!$H$82,'405'!$H$84,'405'!$H$86</definedName>
    <definedName name="OSRRefH22x_0" localSheetId="73">'406'!$H$20,'406'!$H$22</definedName>
    <definedName name="OSRRefH22x_0" localSheetId="74">'411'!$H$20:$H$28,'411'!$H$30:$H$39,'411'!$H$41,'411'!$H$43:$H$44,'411'!$H$46,'411'!$H$48,'411'!$H$50,'411'!$H$52,'411'!$H$54:$H$56,'411'!$H$58:$H$60,'411'!$H$62,'411'!$H$64,'411'!$H$66,'411'!$H$68</definedName>
    <definedName name="OSRRefH22x_0" localSheetId="75">'412'!$H$20,'412'!$H$22,'412'!$H$24,'412'!$H$26</definedName>
    <definedName name="OSRRefH22x_0" localSheetId="76">'413'!$H$20,'413'!$H$22,'413'!$H$24</definedName>
    <definedName name="OSRRefH22x_0" localSheetId="77">'414'!$H$20,'414'!$H$22</definedName>
    <definedName name="OSRRefH22x_0" localSheetId="78">'415'!$H$27:$H$35,'415'!$H$37:$H$46,'415'!$H$48,'415'!$H$50,'415'!$H$52,'415'!$H$54:$H$55,'415'!$H$57,'415'!$H$59,'415'!$H$61,'415'!$H$63,'415'!$H$65:$H$66,'415'!$H$68:$H$71,'415'!$H$73,'415'!$H$75:$H$80,'415'!$H$82:$H$83,'415'!$H$85,'415'!$H$87</definedName>
    <definedName name="OSRRefH22x_0" localSheetId="79">'418'!$H$24:$H$32,'418'!$H$34:$H$43,'418'!$H$45,'418'!$H$47,'418'!$H$49:$H$50,'418'!$H$52,'418'!$H$54,'418'!$H$56,'418'!$H$58:$H$59,'418'!$H$61:$H$64,'418'!$H$66,'418'!$H$68:$H$75,'418'!$H$77:$H$78,'418'!$H$80,'418'!$H$82</definedName>
    <definedName name="OSRRefH22x_0" localSheetId="80">'423'!$H$20:$H$27,'423'!$H$29:$H$38,'423'!$H$40,'423'!$H$42,'423'!$H$44,'423'!$H$46</definedName>
    <definedName name="OSRRefH22x_0" localSheetId="81">'424'!$H$20,'424'!$H$22</definedName>
    <definedName name="OSRRefH22x_0" localSheetId="82">'425'!$H$22,'425'!$H$24,'425'!$H$26,'425'!$H$28,'425'!$H$30,'425'!$H$32</definedName>
    <definedName name="OSRRefH22x_0" localSheetId="84">'430'!$H$20:$H$28,'430'!$H$30:$H$39,'430'!$H$41,'430'!$H$43,'430'!$H$45,'430'!$H$47:$H$48,'430'!$H$50:$H$51,'430'!$H$53,'430'!$H$55</definedName>
    <definedName name="OSRRefH22x_0" localSheetId="85">'433'!$H$27:$H$36,'433'!$H$38:$H$47,'433'!$H$49,'433'!$H$51,'433'!$H$53,'433'!$H$55,'433'!$H$57,'433'!$H$59,'433'!$H$61,'433'!$H$63,'433'!$H$65,'433'!$H$67:$H$69,'433'!$H$71:$H$74,'433'!$H$76:$H$83,'433'!$H$85</definedName>
    <definedName name="OSRRefH22x_0" localSheetId="86">'444'!$H$27:$H$36,'444'!$H$38:$H$47,'444'!$H$49,'444'!$H$51,'444'!$H$53,'444'!$H$55,'444'!$H$57,'444'!$H$59,'444'!$H$61,'444'!$H$63,'444'!$H$65,'444'!$H$67:$H$68,'444'!$H$70:$H$73,'444'!$H$75:$H$81,'444'!$H$83,'444'!$H$85</definedName>
    <definedName name="OSRRefH22x_0" localSheetId="87">'450'!$H$27:$H$36,'450'!$H$38:$H$47,'450'!$H$49,'450'!$H$51,'450'!$H$53,'450'!$H$55,'450'!$H$57,'450'!$H$59,'450'!$H$61,'450'!$H$63,'450'!$H$65,'450'!$H$67:$H$69,'450'!$H$71:$H$74,'450'!$H$76:$H$82,'450'!$H$84,'450'!$H$86,'450'!$H$88</definedName>
    <definedName name="OSRRefH22x_0" localSheetId="71">'491'!$H$28:$H$36,'491'!$H$38:$H$47,'491'!$H$49,'491'!$H$51,'491'!$H$53,'491'!$H$55:$H$56,'491'!$H$58,'491'!$H$60,'491'!$H$62,'491'!$H$64,'491'!$H$66,'491'!$H$68,'491'!$H$70:$H$72,'491'!$H$74,'491'!$H$76:$H$80,'491'!$H$82,'491'!$H$84:$H$92,'491'!$H$94:$H$95,'491'!$H$97,'491'!$H$99</definedName>
    <definedName name="OSRRefH22x_0" localSheetId="83">'492'!$H$27:$H$36,'492'!$H$38:$H$47,'492'!$H$49,'492'!$H$51,'492'!$H$53,'492'!$H$55,'492'!$H$57,'492'!$H$59,'492'!$H$61,'492'!$H$63,'492'!$H$65,'492'!$H$67,'492'!$H$69:$H$71,'492'!$H$73:$H$76,'492'!$H$78:$H$85,'492'!$H$87:$H$88,'492'!$H$90,'492'!$H$92:$H$93</definedName>
    <definedName name="OSRRefH22x_0" localSheetId="89">'501'!$H$21:$H$30,'501'!$H$32:$H$41,'501'!$H$43,'501'!$H$45,'501'!$H$47,'501'!$H$49:$H$50,'501'!$H$52,'501'!$H$54,'501'!$H$56,'501'!$H$58:$H$60,'501'!$H$62,'501'!$H$64:$H$66,'501'!$H$68,'501'!$H$70</definedName>
    <definedName name="OSRRefH22x_0" localSheetId="39">'Div 2'!$H$20:$H$30,'Div 2'!$H$32:$H$41,'Div 2'!$H$43,'Div 2'!$H$45,'Div 2'!$H$47,'Div 2'!$H$49:$H$50,'Div 2'!$H$52,'Div 2'!$H$54,'Div 2'!$H$56,'Div 2'!$H$58,'Div 2'!$H$60,'Div 2'!$H$62,'Div 2'!$H$64:$H$67,'Div 2'!$H$69:$H$72,'Div 2'!$H$74:$H$75,'Div 2'!$H$77,'Div 2'!$H$79:$H$84,'Div 2'!$H$86:$H$87,'Div 2'!$H$89,'Div 2'!$H$91</definedName>
    <definedName name="OSRRefH22x_0" localSheetId="47">'Div 3'!$H$58:$H$67,'Div 3'!$H$69:$H$78,'Div 3'!$H$80,'Div 3'!$H$82,'Div 3'!$H$84,'Div 3'!$H$86:$H$87,'Div 3'!$H$89:$H$90,'Div 3'!$H$92,'Div 3'!$H$94,'Div 3'!$H$96,'Div 3'!$H$98:$H$99,'Div 3'!$H$101:$H$102,'Div 3'!$H$104,'Div 3'!$H$106,'Div 3'!$H$108,'Div 3'!$H$110,'Div 3'!$H$112,'Div 3'!$H$114:$H$117,'Div 3'!$H$119:$H$122,'Div 3'!$H$124:$H$127,'Div 3'!$H$129:$H$130,'Div 3'!$H$132:$H$138,'Div 3'!$H$140:$H$141,'Div 3'!$H$143,'Div 3'!$H$145:$H$147,'Div 3'!$H$149</definedName>
    <definedName name="OSRRefH22x_0" localSheetId="69">'Div 4'!$H$29:$H$38,'Div 4'!$H$40:$H$49,'Div 4'!$H$51,'Div 4'!$H$53,'Div 4'!$H$55,'Div 4'!$H$57:$H$58,'Div 4'!$H$60,'Div 4'!$H$62,'Div 4'!$H$64,'Div 4'!$H$66,'Div 4'!$H$68,'Div 4'!$H$70,'Div 4'!$H$72,'Div 4'!$H$74,'Div 4'!$H$76:$H$78,'Div 4'!$H$80,'Div 4'!$H$82:$H$86,'Div 4'!$H$88,'Div 4'!$H$90:$H$99,'Div 4'!$H$101:$H$102,'Div 4'!$H$104,'Div 4'!$H$106:$H$107,'Div 4'!$H$109</definedName>
    <definedName name="OSRRefH22x_0" localSheetId="88">'Div 5'!$H$21:$H$30,'Div 5'!$H$32:$H$41,'Div 5'!$H$43,'Div 5'!$H$45,'Div 5'!$H$47,'Div 5'!$H$49:$H$50,'Div 5'!$H$52,'Div 5'!$H$54,'Div 5'!$H$56,'Div 5'!$H$58:$H$60,'Div 5'!$H$62,'Div 5'!$H$64:$H$66,'Div 5'!$H$68,'Div 5'!$H$70</definedName>
    <definedName name="OSRRefH22x_0" localSheetId="61">'Div 6'!$H$35:$H$44,'Div 6'!$H$46:$H$55,'Div 6'!$H$57,'Div 6'!$H$59,'Div 6'!$H$61,'Div 6'!$H$63,'Div 6'!$H$65,'Div 6'!$H$67,'Div 6'!$H$69:$H$70,'Div 6'!$H$72</definedName>
    <definedName name="OSRRefH22x_0" localSheetId="2">Summary!$H$66:$H$75,Summary!$H$77:$H$86,Summary!$H$88,Summary!$H$90,Summary!$H$92,Summary!$H$94:$H$95,Summary!$H$97:$H$98,Summary!$H$100,Summary!$H$102,Summary!$H$104,Summary!$H$106:$H$107,Summary!$H$109:$H$110,Summary!$H$112,Summary!$H$114,Summary!$H$116,Summary!$H$118,Summary!$H$120,Summary!$H$122,Summary!$H$124:$H$127,Summary!$H$129:$H$132,Summary!$H$134:$H$138,Summary!$H$140:$H$141,Summary!$H$143:$H$152,Summary!$H$154:$H$155,Summary!$H$157,Summary!$H$159:$H$161,Summary!$H$163</definedName>
    <definedName name="OSRRefH25x_0" localSheetId="48">'300'!$H$145:$H$149</definedName>
    <definedName name="OSRRefH25x_0" localSheetId="49">'300 &amp; 317'!$H$151:$H$157</definedName>
    <definedName name="OSRRefH25x_0" localSheetId="50">'301'!$H$97:$H$98</definedName>
    <definedName name="OSRRefH25x_0" localSheetId="53">'308'!$H$82:$H$85</definedName>
    <definedName name="OSRRefH25x_0" localSheetId="70">'310 &amp; 491'!$H$105:$H$107</definedName>
    <definedName name="OSRRefH25x_0" localSheetId="54">'311'!$H$82:$H$85</definedName>
    <definedName name="OSRRefH25x_0" localSheetId="57">'315'!$H$103:$H$105</definedName>
    <definedName name="OSRRefH25x_0" localSheetId="60">'316'!$H$72</definedName>
    <definedName name="OSRRefH25x_0" localSheetId="62">'317'!$H$75:$H$77</definedName>
    <definedName name="OSRRefH25x_0" localSheetId="56">'331'!$H$115:$H$117</definedName>
    <definedName name="OSRRefH25x_0" localSheetId="59">'332'!$H$72</definedName>
    <definedName name="OSRRefH25x_0" localSheetId="74">'411'!$H$71</definedName>
    <definedName name="OSRRefH25x_0" localSheetId="78">'415'!$H$90</definedName>
    <definedName name="OSRRefH25x_0" localSheetId="79">'418'!$H$85</definedName>
    <definedName name="OSRRefH25x_0" localSheetId="80">'423'!$H$49</definedName>
    <definedName name="OSRRefH25x_0" localSheetId="71">'491'!$H$102:$H$104</definedName>
    <definedName name="OSRRefH25x_0" localSheetId="89">'501'!$H$73</definedName>
    <definedName name="OSRRefH25x_0" localSheetId="47">'Div 3'!$H$152:$H$156</definedName>
    <definedName name="OSRRefH25x_0" localSheetId="69">'Div 4'!$H$112:$H$114</definedName>
    <definedName name="OSRRefH25x_0" localSheetId="88">'Div 5'!$H$73</definedName>
    <definedName name="OSRRefH25x_0" localSheetId="61">'Div 6'!$H$75:$H$77</definedName>
    <definedName name="OSRRefH25x_0" localSheetId="2">Summary!$H$166:$H$173</definedName>
    <definedName name="OSRRefP13x_0" localSheetId="48">'300'!$P$13:$P$19</definedName>
    <definedName name="OSRRefP13x_0" localSheetId="49">'300 &amp; 317'!$P$13:$P$19</definedName>
    <definedName name="OSRRefP13x_0" localSheetId="52">'307'!$P$13:$P$16</definedName>
    <definedName name="OSRRefP13x_0" localSheetId="53">'308'!$P$13:$P$17</definedName>
    <definedName name="OSRRefP13x_0" localSheetId="63">'310'!$P$13:$P$16</definedName>
    <definedName name="OSRRefP13x_0" localSheetId="70">'310 &amp; 491'!$P$13:$P$18</definedName>
    <definedName name="OSRRefP13x_0" localSheetId="54">'311'!$P$13:$P$17</definedName>
    <definedName name="OSRRefP13x_0" localSheetId="57">'315'!$P$13:$P$17</definedName>
    <definedName name="OSRRefP13x_0" localSheetId="60">'316'!$P$13:$P$17</definedName>
    <definedName name="OSRRefP13x_0" localSheetId="62">'317'!$P$13:$P$17</definedName>
    <definedName name="OSRRefP13x_0" localSheetId="65">'321'!$P$13:$P$14</definedName>
    <definedName name="OSRRefP13x_0" localSheetId="55">'324'!$P$13:$P$14</definedName>
    <definedName name="OSRRefP13x_0" localSheetId="67">'325'!$P$13:$P$14</definedName>
    <definedName name="OSRRefP13x_0" localSheetId="58">'326'!$P$13:$P$16</definedName>
    <definedName name="OSRRefP13x_0" localSheetId="68">'327'!$P$13:$P$15</definedName>
    <definedName name="OSRRefP13x_0" localSheetId="51">'330'!$P$13:$P$16</definedName>
    <definedName name="OSRRefP13x_0" localSheetId="56">'331'!$P$13:$P$17</definedName>
    <definedName name="OSRRefP13x_0" localSheetId="59">'332'!$P$13:$P$17</definedName>
    <definedName name="OSRRefP13x_0" localSheetId="72">'405'!$P$13:$P$16</definedName>
    <definedName name="OSRRefP13x_0" localSheetId="78">'415'!$P$13:$P$16</definedName>
    <definedName name="OSRRefP13x_0" localSheetId="79">'418'!$P$13:$P$14</definedName>
    <definedName name="OSRRefP13x_0" localSheetId="82">'425'!$P$13</definedName>
    <definedName name="OSRRefP13x_0" localSheetId="85">'433'!$P$13:$P$16</definedName>
    <definedName name="OSRRefP13x_0" localSheetId="86">'444'!$P$13:$P$16</definedName>
    <definedName name="OSRRefP13x_0" localSheetId="87">'450'!$P$13:$P$16</definedName>
    <definedName name="OSRRefP13x_0" localSheetId="71">'491'!$P$13:$P$17</definedName>
    <definedName name="OSRRefP13x_0" localSheetId="83">'492'!$P$13:$P$16</definedName>
    <definedName name="OSRRefP13x_0" localSheetId="89">'501'!$P$13</definedName>
    <definedName name="OSRRefP13x_0" localSheetId="47">'Div 3'!$P$13:$P$21</definedName>
    <definedName name="OSRRefP13x_0" localSheetId="69">'Div 4'!$P$13:$P$18</definedName>
    <definedName name="OSRRefP13x_0" localSheetId="88">'Div 5'!$P$13</definedName>
    <definedName name="OSRRefP13x_0" localSheetId="61">'Div 6'!$P$13:$P$17</definedName>
    <definedName name="OSRRefP13x_0" localSheetId="2">Summary!$P$13:$P$23</definedName>
    <definedName name="OSRRefP16x_0" localSheetId="48">'300'!$P$22:$P$48</definedName>
    <definedName name="OSRRefP16x_0" localSheetId="49">'300 &amp; 317'!$P$22:$P$54</definedName>
    <definedName name="OSRRefP16x_0" localSheetId="50">'301'!$P$15</definedName>
    <definedName name="OSRRefP16x_0" localSheetId="52">'307'!$P$19:$P$28</definedName>
    <definedName name="OSRRefP16x_0" localSheetId="53">'308'!$P$20:$P$29</definedName>
    <definedName name="OSRRefP16x_0" localSheetId="63">'310'!$P$19:$P$21</definedName>
    <definedName name="OSRRefP16x_0" localSheetId="70">'310 &amp; 491'!$P$21:$P$23</definedName>
    <definedName name="OSRRefP16x_0" localSheetId="54">'311'!$P$20:$P$29</definedName>
    <definedName name="OSRRefP16x_0" localSheetId="57">'315'!$P$20:$P$38</definedName>
    <definedName name="OSRRefP16x_0" localSheetId="60">'316'!$P$20</definedName>
    <definedName name="OSRRefP16x_0" localSheetId="62">'317'!$P$20:$P$29</definedName>
    <definedName name="OSRRefP16x_0" localSheetId="65">'321'!$P$17</definedName>
    <definedName name="OSRRefP16x_0" localSheetId="55">'324'!$P$17</definedName>
    <definedName name="OSRRefP16x_0" localSheetId="67">'325'!$P$17:$P$19</definedName>
    <definedName name="OSRRefP16x_0" localSheetId="58">'326'!$P$19:$P$22</definedName>
    <definedName name="OSRRefP16x_0" localSheetId="68">'327'!$P$18:$P$20</definedName>
    <definedName name="OSRRefP16x_0" localSheetId="51">'330'!$P$19:$P$28</definedName>
    <definedName name="OSRRefP16x_0" localSheetId="56">'331'!$P$20:$P$38</definedName>
    <definedName name="OSRRefP16x_0" localSheetId="59">'332'!$P$20</definedName>
    <definedName name="OSRRefP16x_0" localSheetId="72">'405'!$P$19:$P$21</definedName>
    <definedName name="OSRRefP16x_0" localSheetId="78">'415'!$P$19:$P$21</definedName>
    <definedName name="OSRRefP16x_0" localSheetId="79">'418'!$P$17:$P$18</definedName>
    <definedName name="OSRRefP16x_0" localSheetId="82">'425'!$P$16</definedName>
    <definedName name="OSRRefP16x_0" localSheetId="85">'433'!$P$19:$P$21</definedName>
    <definedName name="OSRRefP16x_0" localSheetId="86">'444'!$P$19:$P$21</definedName>
    <definedName name="OSRRefP16x_0" localSheetId="87">'450'!$P$19:$P$21</definedName>
    <definedName name="OSRRefP16x_0" localSheetId="71">'491'!$P$20:$P$22</definedName>
    <definedName name="OSRRefP16x_0" localSheetId="83">'492'!$P$19:$P$21</definedName>
    <definedName name="OSRRefP16x_0" localSheetId="47">'Div 3'!$P$24:$P$52</definedName>
    <definedName name="OSRRefP16x_0" localSheetId="69">'Div 4'!$P$21:$P$23</definedName>
    <definedName name="OSRRefP16x_0" localSheetId="61">'Div 6'!$P$20:$P$29</definedName>
    <definedName name="OSRRefP16x_0" localSheetId="2">Summary!$P$26:$P$60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'204'!$P$20:$P$28</definedName>
    <definedName name="OSRRefP22_0x_0" localSheetId="45">'205'!$P$20:$P$28</definedName>
    <definedName name="OSRRefP22_0x_0" localSheetId="46">'206'!$P$20:$P$28</definedName>
    <definedName name="OSRRefP22_0x_0" localSheetId="48">'300'!$P$54:$P$63</definedName>
    <definedName name="OSRRefP22_0x_0" localSheetId="49">'300 &amp; 317'!$P$60:$P$69</definedName>
    <definedName name="OSRRefP22_0x_0" localSheetId="50">'301'!$P$21:$P$30</definedName>
    <definedName name="OSRRefP22_0x_0" localSheetId="52">'307'!$P$34:$P$41</definedName>
    <definedName name="OSRRefP22_0x_0" localSheetId="53">'308'!$P$35:$P$44</definedName>
    <definedName name="OSRRefP22_0x_0" localSheetId="64">'309'!$P$20</definedName>
    <definedName name="OSRRefP22_0x_0" localSheetId="63">'310'!$P$27:$P$35</definedName>
    <definedName name="OSRRefP22_0x_0" localSheetId="70">'310 &amp; 491'!$P$29:$P$37</definedName>
    <definedName name="OSRRefP22_0x_0" localSheetId="54">'311'!$P$35:$P$44</definedName>
    <definedName name="OSRRefP22_0x_0" localSheetId="57">'315'!$P$44:$P$52</definedName>
    <definedName name="OSRRefP22_0x_0" localSheetId="60">'316'!$P$26:$P$34</definedName>
    <definedName name="OSRRefP22_0x_0" localSheetId="62">'317'!$P$35:$P$44</definedName>
    <definedName name="OSRRefP22_0x_0" localSheetId="65">'321'!$P$23:$P$31</definedName>
    <definedName name="OSRRefP22_0x_0" localSheetId="66">'322'!$P$20</definedName>
    <definedName name="OSRRefP22_0x_0" localSheetId="67">'325'!$P$25:$P$33</definedName>
    <definedName name="OSRRefP22_0x_0" localSheetId="58">'326'!$P$28:$P$36</definedName>
    <definedName name="OSRRefP22_0x_0" localSheetId="68">'327'!$P$26</definedName>
    <definedName name="OSRRefP22_0x_0" localSheetId="51">'330'!$P$34:$P$41</definedName>
    <definedName name="OSRRefP22_0x_0" localSheetId="56">'331'!$P$44:$P$52</definedName>
    <definedName name="OSRRefP22_0x_0" localSheetId="59">'332'!$P$26:$P$34</definedName>
    <definedName name="OSRRefP22_0x_0" localSheetId="72">'405'!$P$27:$P$35</definedName>
    <definedName name="OSRRefP22_0x_0" localSheetId="73">'406'!$P$20</definedName>
    <definedName name="OSRRefP22_0x_0" localSheetId="74">'411'!$P$20:$P$28</definedName>
    <definedName name="OSRRefP22_0x_0" localSheetId="75">'412'!$P$20</definedName>
    <definedName name="OSRRefP22_0x_0" localSheetId="76">'413'!$P$20</definedName>
    <definedName name="OSRRefP22_0x_0" localSheetId="77">'414'!$P$20</definedName>
    <definedName name="OSRRefP22_0x_0" localSheetId="78">'415'!$P$27:$P$35</definedName>
    <definedName name="OSRRefP22_0x_0" localSheetId="79">'418'!$P$24:$P$32</definedName>
    <definedName name="OSRRefP22_0x_0" localSheetId="80">'423'!$P$20:$P$27</definedName>
    <definedName name="OSRRefP22_0x_0" localSheetId="81">'424'!$P$20</definedName>
    <definedName name="OSRRefP22_0x_0" localSheetId="82">'425'!$P$22</definedName>
    <definedName name="OSRRefP22_0x_0" localSheetId="84">'430'!$P$20:$P$28</definedName>
    <definedName name="OSRRefP22_0x_0" localSheetId="85">'433'!$P$27:$P$36</definedName>
    <definedName name="OSRRefP22_0x_0" localSheetId="86">'444'!$P$27:$P$36</definedName>
    <definedName name="OSRRefP22_0x_0" localSheetId="87">'450'!$P$27:$P$36</definedName>
    <definedName name="OSRRefP22_0x_0" localSheetId="71">'491'!$P$28:$P$36</definedName>
    <definedName name="OSRRefP22_0x_0" localSheetId="83">'492'!$P$27:$P$36</definedName>
    <definedName name="OSRRefP22_0x_0" localSheetId="89">'501'!$P$21:$P$30</definedName>
    <definedName name="OSRRefP22_0x_0" localSheetId="39">'Div 2'!$P$20:$P$30</definedName>
    <definedName name="OSRRefP22_0x_0" localSheetId="47">'Div 3'!$P$58:$P$67</definedName>
    <definedName name="OSRRefP22_0x_0" localSheetId="69">'Div 4'!$P$29:$P$38</definedName>
    <definedName name="OSRRefP22_0x_0" localSheetId="88">'Div 5'!$P$21:$P$30</definedName>
    <definedName name="OSRRefP22_0x_0" localSheetId="61">'Div 6'!$P$35:$P$44</definedName>
    <definedName name="OSRRefP22_0x_0" localSheetId="2">Summary!$P$66:$P$75</definedName>
    <definedName name="OSRRefP22_10x_0" localSheetId="41">'201'!$P$59</definedName>
    <definedName name="OSRRefP22_10x_0" localSheetId="42">'202'!$P$59</definedName>
    <definedName name="OSRRefP22_10x_0" localSheetId="43">'203'!$P$61</definedName>
    <definedName name="OSRRefP22_10x_0" localSheetId="48">'300'!$P$94:$P$95</definedName>
    <definedName name="OSRRefP22_10x_0" localSheetId="49">'300 &amp; 317'!$P$100:$P$101</definedName>
    <definedName name="OSRRefP22_10x_0" localSheetId="50">'301'!$P$60</definedName>
    <definedName name="OSRRefP22_10x_0" localSheetId="52">'307'!$P$72:$P$73</definedName>
    <definedName name="OSRRefP22_10x_0" localSheetId="53">'308'!$P$75:$P$76</definedName>
    <definedName name="OSRRefP22_10x_0" localSheetId="63">'310'!$P$65:$P$67</definedName>
    <definedName name="OSRRefP22_10x_0" localSheetId="70">'310 &amp; 491'!$P$67</definedName>
    <definedName name="OSRRefP22_10x_0" localSheetId="54">'311'!$P$75:$P$76</definedName>
    <definedName name="OSRRefP22_10x_0" localSheetId="57">'315'!$P$82</definedName>
    <definedName name="OSRRefP22_10x_0" localSheetId="60">'316'!$P$69</definedName>
    <definedName name="OSRRefP22_10x_0" localSheetId="65">'321'!$P$65</definedName>
    <definedName name="OSRRefP22_10x_0" localSheetId="67">'325'!$P$63:$P$65</definedName>
    <definedName name="OSRRefP22_10x_0" localSheetId="58">'326'!$P$65</definedName>
    <definedName name="OSRRefP22_10x_0" localSheetId="51">'330'!$P$72:$P$73</definedName>
    <definedName name="OSRRefP22_10x_0" localSheetId="56">'331'!$P$83</definedName>
    <definedName name="OSRRefP22_10x_0" localSheetId="59">'332'!$P$69</definedName>
    <definedName name="OSRRefP22_10x_0" localSheetId="72">'405'!$P$66:$P$69</definedName>
    <definedName name="OSRRefP22_10x_0" localSheetId="74">'411'!$P$62</definedName>
    <definedName name="OSRRefP22_10x_0" localSheetId="78">'415'!$P$65:$P$66</definedName>
    <definedName name="OSRRefP22_10x_0" localSheetId="79">'418'!$P$66</definedName>
    <definedName name="OSRRefP22_10x_0" localSheetId="85">'433'!$P$65</definedName>
    <definedName name="OSRRefP22_10x_0" localSheetId="86">'444'!$P$65</definedName>
    <definedName name="OSRRefP22_10x_0" localSheetId="87">'450'!$P$65</definedName>
    <definedName name="OSRRefP22_10x_0" localSheetId="71">'491'!$P$66</definedName>
    <definedName name="OSRRefP22_10x_0" localSheetId="83">'492'!$P$65</definedName>
    <definedName name="OSRRefP22_10x_0" localSheetId="89">'501'!$P$62</definedName>
    <definedName name="OSRRefP22_10x_0" localSheetId="39">'Div 2'!$P$60</definedName>
    <definedName name="OSRRefP22_10x_0" localSheetId="47">'Div 3'!$P$98:$P$99</definedName>
    <definedName name="OSRRefP22_10x_0" localSheetId="69">'Div 4'!$P$68</definedName>
    <definedName name="OSRRefP22_10x_0" localSheetId="88">'Div 5'!$P$62</definedName>
    <definedName name="OSRRefP22_10x_0" localSheetId="2">Summary!$P$106:$P$107</definedName>
    <definedName name="OSRRefP22_11x_0" localSheetId="41">'201'!$P$61:$P$62</definedName>
    <definedName name="OSRRefP22_11x_0" localSheetId="42">'202'!$P$61</definedName>
    <definedName name="OSRRefP22_11x_0" localSheetId="43">'203'!$P$63:$P$66</definedName>
    <definedName name="OSRRefP22_11x_0" localSheetId="48">'300'!$P$97:$P$98</definedName>
    <definedName name="OSRRefP22_11x_0" localSheetId="49">'300 &amp; 317'!$P$103:$P$104</definedName>
    <definedName name="OSRRefP22_11x_0" localSheetId="50">'301'!$P$62</definedName>
    <definedName name="OSRRefP22_11x_0" localSheetId="52">'307'!$P$75:$P$78</definedName>
    <definedName name="OSRRefP22_11x_0" localSheetId="53">'308'!$P$78:$P$79</definedName>
    <definedName name="OSRRefP22_11x_0" localSheetId="63">'310'!$P$69</definedName>
    <definedName name="OSRRefP22_11x_0" localSheetId="70">'310 &amp; 491'!$P$69</definedName>
    <definedName name="OSRRefP22_11x_0" localSheetId="54">'311'!$P$78:$P$79</definedName>
    <definedName name="OSRRefP22_11x_0" localSheetId="57">'315'!$P$84:$P$85</definedName>
    <definedName name="OSRRefP22_11x_0" localSheetId="65">'321'!$P$67</definedName>
    <definedName name="OSRRefP22_11x_0" localSheetId="67">'325'!$P$67:$P$69</definedName>
    <definedName name="OSRRefP22_11x_0" localSheetId="58">'326'!$P$67:$P$68</definedName>
    <definedName name="OSRRefP22_11x_0" localSheetId="51">'330'!$P$75:$P$78</definedName>
    <definedName name="OSRRefP22_11x_0" localSheetId="56">'331'!$P$85</definedName>
    <definedName name="OSRRefP22_11x_0" localSheetId="72">'405'!$P$71</definedName>
    <definedName name="OSRRefP22_11x_0" localSheetId="74">'411'!$P$64</definedName>
    <definedName name="OSRRefP22_11x_0" localSheetId="78">'415'!$P$68:$P$71</definedName>
    <definedName name="OSRRefP22_11x_0" localSheetId="79">'418'!$P$68:$P$75</definedName>
    <definedName name="OSRRefP22_11x_0" localSheetId="85">'433'!$P$67:$P$69</definedName>
    <definedName name="OSRRefP22_11x_0" localSheetId="86">'444'!$P$67:$P$68</definedName>
    <definedName name="OSRRefP22_11x_0" localSheetId="87">'450'!$P$67:$P$69</definedName>
    <definedName name="OSRRefP22_11x_0" localSheetId="71">'491'!$P$68</definedName>
    <definedName name="OSRRefP22_11x_0" localSheetId="83">'492'!$P$67</definedName>
    <definedName name="OSRRefP22_11x_0" localSheetId="89">'501'!$P$64:$P$66</definedName>
    <definedName name="OSRRefP22_11x_0" localSheetId="39">'Div 2'!$P$62</definedName>
    <definedName name="OSRRefP22_11x_0" localSheetId="47">'Div 3'!$P$101:$P$102</definedName>
    <definedName name="OSRRefP22_11x_0" localSheetId="69">'Div 4'!$P$70</definedName>
    <definedName name="OSRRefP22_11x_0" localSheetId="88">'Div 5'!$P$64:$P$66</definedName>
    <definedName name="OSRRefP22_11x_0" localSheetId="2">Summary!$P$109:$P$110</definedName>
    <definedName name="OSRRefP22_12x_0" localSheetId="41">'201'!$P$64</definedName>
    <definedName name="OSRRefP22_12x_0" localSheetId="43">'203'!$P$68</definedName>
    <definedName name="OSRRefP22_12x_0" localSheetId="48">'300'!$P$100</definedName>
    <definedName name="OSRRefP22_12x_0" localSheetId="49">'300 &amp; 317'!$P$106</definedName>
    <definedName name="OSRRefP22_12x_0" localSheetId="50">'301'!$P$64</definedName>
    <definedName name="OSRRefP22_12x_0" localSheetId="52">'307'!$P$80</definedName>
    <definedName name="OSRRefP22_12x_0" localSheetId="63">'310'!$P$71:$P$73</definedName>
    <definedName name="OSRRefP22_12x_0" localSheetId="70">'310 &amp; 491'!$P$71:$P$73</definedName>
    <definedName name="OSRRefP22_12x_0" localSheetId="57">'315'!$P$87:$P$89</definedName>
    <definedName name="OSRRefP22_12x_0" localSheetId="67">'325'!$P$71:$P$75</definedName>
    <definedName name="OSRRefP22_12x_0" localSheetId="58">'326'!$P$70:$P$71</definedName>
    <definedName name="OSRRefP22_12x_0" localSheetId="51">'330'!$P$80</definedName>
    <definedName name="OSRRefP22_12x_0" localSheetId="56">'331'!$P$87</definedName>
    <definedName name="OSRRefP22_12x_0" localSheetId="72">'405'!$P$73:$P$80</definedName>
    <definedName name="OSRRefP22_12x_0" localSheetId="74">'411'!$P$66</definedName>
    <definedName name="OSRRefP22_12x_0" localSheetId="78">'415'!$P$73</definedName>
    <definedName name="OSRRefP22_12x_0" localSheetId="79">'418'!$P$77:$P$78</definedName>
    <definedName name="OSRRefP22_12x_0" localSheetId="85">'433'!$P$71:$P$74</definedName>
    <definedName name="OSRRefP22_12x_0" localSheetId="86">'444'!$P$70:$P$73</definedName>
    <definedName name="OSRRefP22_12x_0" localSheetId="87">'450'!$P$71:$P$74</definedName>
    <definedName name="OSRRefP22_12x_0" localSheetId="71">'491'!$P$70:$P$72</definedName>
    <definedName name="OSRRefP22_12x_0" localSheetId="83">'492'!$P$69:$P$71</definedName>
    <definedName name="OSRRefP22_12x_0" localSheetId="89">'501'!$P$68</definedName>
    <definedName name="OSRRefP22_12x_0" localSheetId="39">'Div 2'!$P$64:$P$67</definedName>
    <definedName name="OSRRefP22_12x_0" localSheetId="47">'Div 3'!$P$104</definedName>
    <definedName name="OSRRefP22_12x_0" localSheetId="69">'Div 4'!$P$72</definedName>
    <definedName name="OSRRefP22_12x_0" localSheetId="88">'Div 5'!$P$68</definedName>
    <definedName name="OSRRefP22_12x_0" localSheetId="2">Summary!$P$112</definedName>
    <definedName name="OSRRefP22_13x_0" localSheetId="41">'201'!$P$66</definedName>
    <definedName name="OSRRefP22_13x_0" localSheetId="43">'203'!$P$70</definedName>
    <definedName name="OSRRefP22_13x_0" localSheetId="48">'300'!$P$102</definedName>
    <definedName name="OSRRefP22_13x_0" localSheetId="49">'300 &amp; 317'!$P$108</definedName>
    <definedName name="OSRRefP22_13x_0" localSheetId="50">'301'!$P$66</definedName>
    <definedName name="OSRRefP22_13x_0" localSheetId="63">'310'!$P$75:$P$79</definedName>
    <definedName name="OSRRefP22_13x_0" localSheetId="70">'310 &amp; 491'!$P$75:$P$76</definedName>
    <definedName name="OSRRefP22_13x_0" localSheetId="57">'315'!$P$91:$P$92</definedName>
    <definedName name="OSRRefP22_13x_0" localSheetId="67">'325'!$P$77:$P$78</definedName>
    <definedName name="OSRRefP22_13x_0" localSheetId="58">'326'!$P$73:$P$74</definedName>
    <definedName name="OSRRefP22_13x_0" localSheetId="56">'331'!$P$89:$P$90</definedName>
    <definedName name="OSRRefP22_13x_0" localSheetId="72">'405'!$P$82</definedName>
    <definedName name="OSRRefP22_13x_0" localSheetId="74">'411'!$P$68</definedName>
    <definedName name="OSRRefP22_13x_0" localSheetId="78">'415'!$P$75:$P$80</definedName>
    <definedName name="OSRRefP22_13x_0" localSheetId="79">'418'!$P$80</definedName>
    <definedName name="OSRRefP22_13x_0" localSheetId="85">'433'!$P$76:$P$83</definedName>
    <definedName name="OSRRefP22_13x_0" localSheetId="86">'444'!$P$75:$P$81</definedName>
    <definedName name="OSRRefP22_13x_0" localSheetId="87">'450'!$P$76:$P$82</definedName>
    <definedName name="OSRRefP22_13x_0" localSheetId="71">'491'!$P$74</definedName>
    <definedName name="OSRRefP22_13x_0" localSheetId="83">'492'!$P$73:$P$76</definedName>
    <definedName name="OSRRefP22_13x_0" localSheetId="89">'501'!$P$70</definedName>
    <definedName name="OSRRefP22_13x_0" localSheetId="39">'Div 2'!$P$69:$P$72</definedName>
    <definedName name="OSRRefP22_13x_0" localSheetId="47">'Div 3'!$P$106</definedName>
    <definedName name="OSRRefP22_13x_0" localSheetId="69">'Div 4'!$P$74</definedName>
    <definedName name="OSRRefP22_13x_0" localSheetId="88">'Div 5'!$P$70</definedName>
    <definedName name="OSRRefP22_13x_0" localSheetId="2">Summary!$P$114</definedName>
    <definedName name="OSRRefP22_14x_0" localSheetId="48">'300'!$P$104</definedName>
    <definedName name="OSRRefP22_14x_0" localSheetId="49">'300 &amp; 317'!$P$110</definedName>
    <definedName name="OSRRefP22_14x_0" localSheetId="50">'301'!$P$68</definedName>
    <definedName name="OSRRefP22_14x_0" localSheetId="63">'310'!$P$81:$P$82</definedName>
    <definedName name="OSRRefP22_14x_0" localSheetId="70">'310 &amp; 491'!$P$78:$P$82</definedName>
    <definedName name="OSRRefP22_14x_0" localSheetId="57">'315'!$P$94:$P$96</definedName>
    <definedName name="OSRRefP22_14x_0" localSheetId="67">'325'!$P$80</definedName>
    <definedName name="OSRRefP22_14x_0" localSheetId="58">'326'!$P$76:$P$78</definedName>
    <definedName name="OSRRefP22_14x_0" localSheetId="56">'331'!$P$92:$P$94</definedName>
    <definedName name="OSRRefP22_14x_0" localSheetId="72">'405'!$P$84</definedName>
    <definedName name="OSRRefP22_14x_0" localSheetId="78">'415'!$P$82:$P$83</definedName>
    <definedName name="OSRRefP22_14x_0" localSheetId="79">'418'!$P$82</definedName>
    <definedName name="OSRRefP22_14x_0" localSheetId="85">'433'!$P$85</definedName>
    <definedName name="OSRRefP22_14x_0" localSheetId="86">'444'!$P$83</definedName>
    <definedName name="OSRRefP22_14x_0" localSheetId="87">'450'!$P$84</definedName>
    <definedName name="OSRRefP22_14x_0" localSheetId="71">'491'!$P$76:$P$80</definedName>
    <definedName name="OSRRefP22_14x_0" localSheetId="83">'492'!$P$78:$P$85</definedName>
    <definedName name="OSRRefP22_14x_0" localSheetId="39">'Div 2'!$P$74:$P$75</definedName>
    <definedName name="OSRRefP22_14x_0" localSheetId="47">'Div 3'!$P$108</definedName>
    <definedName name="OSRRefP22_14x_0" localSheetId="69">'Div 4'!$P$76:$P$78</definedName>
    <definedName name="OSRRefP22_14x_0" localSheetId="2">Summary!$P$116</definedName>
    <definedName name="OSRRefP22_15x_0" localSheetId="48">'300'!$P$106</definedName>
    <definedName name="OSRRefP22_15x_0" localSheetId="49">'300 &amp; 317'!$P$112</definedName>
    <definedName name="OSRRefP22_15x_0" localSheetId="50">'301'!$P$70:$P$73</definedName>
    <definedName name="OSRRefP22_15x_0" localSheetId="63">'310'!$P$84</definedName>
    <definedName name="OSRRefP22_15x_0" localSheetId="70">'310 &amp; 491'!$P$84</definedName>
    <definedName name="OSRRefP22_15x_0" localSheetId="57">'315'!$P$98</definedName>
    <definedName name="OSRRefP22_15x_0" localSheetId="58">'326'!$P$80</definedName>
    <definedName name="OSRRefP22_15x_0" localSheetId="56">'331'!$P$96:$P$97</definedName>
    <definedName name="OSRRefP22_15x_0" localSheetId="72">'405'!$P$86</definedName>
    <definedName name="OSRRefP22_15x_0" localSheetId="78">'415'!$P$85</definedName>
    <definedName name="OSRRefP22_15x_0" localSheetId="86">'444'!$P$85</definedName>
    <definedName name="OSRRefP22_15x_0" localSheetId="87">'450'!$P$86</definedName>
    <definedName name="OSRRefP22_15x_0" localSheetId="71">'491'!$P$82</definedName>
    <definedName name="OSRRefP22_15x_0" localSheetId="83">'492'!$P$87:$P$88</definedName>
    <definedName name="OSRRefP22_15x_0" localSheetId="39">'Div 2'!$P$77</definedName>
    <definedName name="OSRRefP22_15x_0" localSheetId="47">'Div 3'!$P$110</definedName>
    <definedName name="OSRRefP22_15x_0" localSheetId="69">'Div 4'!$P$80</definedName>
    <definedName name="OSRRefP22_15x_0" localSheetId="2">Summary!$P$118</definedName>
    <definedName name="OSRRefP22_16x_0" localSheetId="48">'300'!$P$108:$P$111</definedName>
    <definedName name="OSRRefP22_16x_0" localSheetId="49">'300 &amp; 317'!$P$114:$P$117</definedName>
    <definedName name="OSRRefP22_16x_0" localSheetId="50">'301'!$P$75:$P$76</definedName>
    <definedName name="OSRRefP22_16x_0" localSheetId="63">'310'!$P$86</definedName>
    <definedName name="OSRRefP22_16x_0" localSheetId="70">'310 &amp; 491'!$P$86:$P$95</definedName>
    <definedName name="OSRRefP22_16x_0" localSheetId="57">'315'!$P$100</definedName>
    <definedName name="OSRRefP22_16x_0" localSheetId="58">'326'!$P$82:$P$83</definedName>
    <definedName name="OSRRefP22_16x_0" localSheetId="56">'331'!$P$99:$P$100</definedName>
    <definedName name="OSRRefP22_16x_0" localSheetId="78">'415'!$P$87</definedName>
    <definedName name="OSRRefP22_16x_0" localSheetId="87">'450'!$P$88</definedName>
    <definedName name="OSRRefP22_16x_0" localSheetId="71">'491'!$P$84:$P$92</definedName>
    <definedName name="OSRRefP22_16x_0" localSheetId="83">'492'!$P$90</definedName>
    <definedName name="OSRRefP22_16x_0" localSheetId="39">'Div 2'!$P$79:$P$84</definedName>
    <definedName name="OSRRefP22_16x_0" localSheetId="47">'Div 3'!$P$112</definedName>
    <definedName name="OSRRefP22_16x_0" localSheetId="69">'Div 4'!$P$82:$P$86</definedName>
    <definedName name="OSRRefP22_16x_0" localSheetId="2">Summary!$P$120</definedName>
    <definedName name="OSRRefP22_17x_0" localSheetId="48">'300'!$P$113:$P$116</definedName>
    <definedName name="OSRRefP22_17x_0" localSheetId="49">'300 &amp; 317'!$P$119:$P$122</definedName>
    <definedName name="OSRRefP22_17x_0" localSheetId="50">'301'!$P$78</definedName>
    <definedName name="OSRRefP22_17x_0" localSheetId="70">'310 &amp; 491'!$P$97:$P$98</definedName>
    <definedName name="OSRRefP22_17x_0" localSheetId="58">'326'!$P$85</definedName>
    <definedName name="OSRRefP22_17x_0" localSheetId="56">'331'!$P$102:$P$105</definedName>
    <definedName name="OSRRefP22_17x_0" localSheetId="71">'491'!$P$94:$P$95</definedName>
    <definedName name="OSRRefP22_17x_0" localSheetId="83">'492'!$P$92:$P$93</definedName>
    <definedName name="OSRRefP22_17x_0" localSheetId="39">'Div 2'!$P$86:$P$87</definedName>
    <definedName name="OSRRefP22_17x_0" localSheetId="47">'Div 3'!$P$114:$P$117</definedName>
    <definedName name="OSRRefP22_17x_0" localSheetId="69">'Div 4'!$P$88</definedName>
    <definedName name="OSRRefP22_17x_0" localSheetId="2">Summary!$P$122</definedName>
    <definedName name="OSRRefP22_18x_0" localSheetId="48">'300'!$P$118:$P$120</definedName>
    <definedName name="OSRRefP22_18x_0" localSheetId="49">'300 &amp; 317'!$P$124:$P$126</definedName>
    <definedName name="OSRRefP22_18x_0" localSheetId="50">'301'!$P$80:$P$85</definedName>
    <definedName name="OSRRefP22_18x_0" localSheetId="70">'310 &amp; 491'!$P$100</definedName>
    <definedName name="OSRRefP22_18x_0" localSheetId="56">'331'!$P$107</definedName>
    <definedName name="OSRRefP22_18x_0" localSheetId="71">'491'!$P$97</definedName>
    <definedName name="OSRRefP22_18x_0" localSheetId="39">'Div 2'!$P$89</definedName>
    <definedName name="OSRRefP22_18x_0" localSheetId="47">'Div 3'!$P$119:$P$122</definedName>
    <definedName name="OSRRefP22_18x_0" localSheetId="69">'Div 4'!$P$90:$P$99</definedName>
    <definedName name="OSRRefP22_18x_0" localSheetId="2">Summary!$P$124:$P$127</definedName>
    <definedName name="OSRRefP22_19x_0" localSheetId="48">'300'!$P$122:$P$123</definedName>
    <definedName name="OSRRefP22_19x_0" localSheetId="49">'300 &amp; 317'!$P$128:$P$129</definedName>
    <definedName name="OSRRefP22_19x_0" localSheetId="50">'301'!$P$87</definedName>
    <definedName name="OSRRefP22_19x_0" localSheetId="70">'310 &amp; 491'!$P$102</definedName>
    <definedName name="OSRRefP22_19x_0" localSheetId="56">'331'!$P$109:$P$110</definedName>
    <definedName name="OSRRefP22_19x_0" localSheetId="71">'491'!$P$99</definedName>
    <definedName name="OSRRefP22_19x_0" localSheetId="39">'Div 2'!$P$91</definedName>
    <definedName name="OSRRefP22_19x_0" localSheetId="47">'Div 3'!$P$124:$P$127</definedName>
    <definedName name="OSRRefP22_19x_0" localSheetId="69">'Div 4'!$P$101:$P$102</definedName>
    <definedName name="OSRRefP22_19x_0" localSheetId="2">Summary!$P$129:$P$132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'204'!$P$30:$P$39</definedName>
    <definedName name="OSRRefP22_1x_0" localSheetId="45">'205'!$P$30:$P$39</definedName>
    <definedName name="OSRRefP22_1x_0" localSheetId="46">'206'!$P$30:$P$39</definedName>
    <definedName name="OSRRefP22_1x_0" localSheetId="48">'300'!$P$65:$P$74</definedName>
    <definedName name="OSRRefP22_1x_0" localSheetId="49">'300 &amp; 317'!$P$71:$P$80</definedName>
    <definedName name="OSRRefP22_1x_0" localSheetId="50">'301'!$P$32:$P$41</definedName>
    <definedName name="OSRRefP22_1x_0" localSheetId="52">'307'!$P$43:$P$52</definedName>
    <definedName name="OSRRefP22_1x_0" localSheetId="53">'308'!$P$46:$P$55</definedName>
    <definedName name="OSRRefP22_1x_0" localSheetId="64">'309'!$P$22</definedName>
    <definedName name="OSRRefP22_1x_0" localSheetId="63">'310'!$P$37:$P$46</definedName>
    <definedName name="OSRRefP22_1x_0" localSheetId="70">'310 &amp; 491'!$P$39:$P$48</definedName>
    <definedName name="OSRRefP22_1x_0" localSheetId="54">'311'!$P$46:$P$55</definedName>
    <definedName name="OSRRefP22_1x_0" localSheetId="57">'315'!$P$54:$P$63</definedName>
    <definedName name="OSRRefP22_1x_0" localSheetId="60">'316'!$P$36:$P$45</definedName>
    <definedName name="OSRRefP22_1x_0" localSheetId="62">'317'!$P$46:$P$55</definedName>
    <definedName name="OSRRefP22_1x_0" localSheetId="65">'321'!$P$33:$P$42</definedName>
    <definedName name="OSRRefP22_1x_0" localSheetId="67">'325'!$P$35:$P$44</definedName>
    <definedName name="OSRRefP22_1x_0" localSheetId="58">'326'!$P$38:$P$47</definedName>
    <definedName name="OSRRefP22_1x_0" localSheetId="51">'330'!$P$43:$P$52</definedName>
    <definedName name="OSRRefP22_1x_0" localSheetId="56">'331'!$P$54:$P$63</definedName>
    <definedName name="OSRRefP22_1x_0" localSheetId="59">'332'!$P$36:$P$45</definedName>
    <definedName name="OSRRefP22_1x_0" localSheetId="72">'405'!$P$37:$P$46</definedName>
    <definedName name="OSRRefP22_1x_0" localSheetId="73">'406'!$P$22</definedName>
    <definedName name="OSRRefP22_1x_0" localSheetId="74">'411'!$P$30:$P$39</definedName>
    <definedName name="OSRRefP22_1x_0" localSheetId="75">'412'!$P$22</definedName>
    <definedName name="OSRRefP22_1x_0" localSheetId="76">'413'!$P$22</definedName>
    <definedName name="OSRRefP22_1x_0" localSheetId="77">'414'!$P$22</definedName>
    <definedName name="OSRRefP22_1x_0" localSheetId="78">'415'!$P$37:$P$46</definedName>
    <definedName name="OSRRefP22_1x_0" localSheetId="79">'418'!$P$34:$P$43</definedName>
    <definedName name="OSRRefP22_1x_0" localSheetId="80">'423'!$P$29:$P$38</definedName>
    <definedName name="OSRRefP22_1x_0" localSheetId="81">'424'!$P$22</definedName>
    <definedName name="OSRRefP22_1x_0" localSheetId="82">'425'!$P$24</definedName>
    <definedName name="OSRRefP22_1x_0" localSheetId="84">'430'!$P$30:$P$39</definedName>
    <definedName name="OSRRefP22_1x_0" localSheetId="85">'433'!$P$38:$P$47</definedName>
    <definedName name="OSRRefP22_1x_0" localSheetId="86">'444'!$P$38:$P$47</definedName>
    <definedName name="OSRRefP22_1x_0" localSheetId="87">'450'!$P$38:$P$47</definedName>
    <definedName name="OSRRefP22_1x_0" localSheetId="71">'491'!$P$38:$P$47</definedName>
    <definedName name="OSRRefP22_1x_0" localSheetId="83">'492'!$P$38:$P$47</definedName>
    <definedName name="OSRRefP22_1x_0" localSheetId="89">'501'!$P$32:$P$41</definedName>
    <definedName name="OSRRefP22_1x_0" localSheetId="39">'Div 2'!$P$32:$P$41</definedName>
    <definedName name="OSRRefP22_1x_0" localSheetId="47">'Div 3'!$P$69:$P$78</definedName>
    <definedName name="OSRRefP22_1x_0" localSheetId="69">'Div 4'!$P$40:$P$49</definedName>
    <definedName name="OSRRefP22_1x_0" localSheetId="88">'Div 5'!$P$32:$P$41</definedName>
    <definedName name="OSRRefP22_1x_0" localSheetId="61">'Div 6'!$P$46:$P$55</definedName>
    <definedName name="OSRRefP22_1x_0" localSheetId="2">Summary!$P$77:$P$86</definedName>
    <definedName name="OSRRefP22_20x_0" localSheetId="48">'300'!$P$125:$P$131</definedName>
    <definedName name="OSRRefP22_20x_0" localSheetId="49">'300 &amp; 317'!$P$131:$P$137</definedName>
    <definedName name="OSRRefP22_20x_0" localSheetId="50">'301'!$P$89</definedName>
    <definedName name="OSRRefP22_20x_0" localSheetId="56">'331'!$P$112</definedName>
    <definedName name="OSRRefP22_20x_0" localSheetId="47">'Div 3'!$P$129:$P$130</definedName>
    <definedName name="OSRRefP22_20x_0" localSheetId="69">'Div 4'!$P$104</definedName>
    <definedName name="OSRRefP22_20x_0" localSheetId="2">Summary!$P$134:$P$138</definedName>
    <definedName name="OSRRefP22_21x_0" localSheetId="48">'300'!$P$133:$P$134</definedName>
    <definedName name="OSRRefP22_21x_0" localSheetId="49">'300 &amp; 317'!$P$139:$P$140</definedName>
    <definedName name="OSRRefP22_21x_0" localSheetId="50">'301'!$P$91:$P$92</definedName>
    <definedName name="OSRRefP22_21x_0" localSheetId="47">'Div 3'!$P$132:$P$138</definedName>
    <definedName name="OSRRefP22_21x_0" localSheetId="69">'Div 4'!$P$106:$P$107</definedName>
    <definedName name="OSRRefP22_21x_0" localSheetId="2">Summary!$P$140:$P$141</definedName>
    <definedName name="OSRRefP22_22x_0" localSheetId="48">'300'!$P$136</definedName>
    <definedName name="OSRRefP22_22x_0" localSheetId="49">'300 &amp; 317'!$P$142</definedName>
    <definedName name="OSRRefP22_22x_0" localSheetId="50">'301'!$P$94</definedName>
    <definedName name="OSRRefP22_22x_0" localSheetId="47">'Div 3'!$P$140:$P$141</definedName>
    <definedName name="OSRRefP22_22x_0" localSheetId="69">'Div 4'!$P$109</definedName>
    <definedName name="OSRRefP22_22x_0" localSheetId="2">Summary!$P$143:$P$152</definedName>
    <definedName name="OSRRefP22_23x_0" localSheetId="48">'300'!$P$138:$P$140</definedName>
    <definedName name="OSRRefP22_23x_0" localSheetId="49">'300 &amp; 317'!$P$144:$P$146</definedName>
    <definedName name="OSRRefP22_23x_0" localSheetId="47">'Div 3'!$P$143</definedName>
    <definedName name="OSRRefP22_23x_0" localSheetId="2">Summary!$P$154:$P$155</definedName>
    <definedName name="OSRRefP22_24x_0" localSheetId="48">'300'!$P$142</definedName>
    <definedName name="OSRRefP22_24x_0" localSheetId="49">'300 &amp; 317'!$P$148</definedName>
    <definedName name="OSRRefP22_24x_0" localSheetId="47">'Div 3'!$P$145:$P$147</definedName>
    <definedName name="OSRRefP22_24x_0" localSheetId="2">Summary!$P$157</definedName>
    <definedName name="OSRRefP22_25x_0" localSheetId="47">'Div 3'!$P$149</definedName>
    <definedName name="OSRRefP22_25x_0" localSheetId="2">Summary!$P$159:$P$161</definedName>
    <definedName name="OSRRefP22_26x_0" localSheetId="2">Summary!$P$163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'204'!$P$41</definedName>
    <definedName name="OSRRefP22_2x_0" localSheetId="45">'205'!$P$41</definedName>
    <definedName name="OSRRefP22_2x_0" localSheetId="46">'206'!$P$41</definedName>
    <definedName name="OSRRefP22_2x_0" localSheetId="48">'300'!$P$76</definedName>
    <definedName name="OSRRefP22_2x_0" localSheetId="49">'300 &amp; 317'!$P$82</definedName>
    <definedName name="OSRRefP22_2x_0" localSheetId="50">'301'!$P$43</definedName>
    <definedName name="OSRRefP22_2x_0" localSheetId="52">'307'!$P$54</definedName>
    <definedName name="OSRRefP22_2x_0" localSheetId="53">'308'!$P$57</definedName>
    <definedName name="OSRRefP22_2x_0" localSheetId="64">'309'!$P$24:$P$25</definedName>
    <definedName name="OSRRefP22_2x_0" localSheetId="63">'310'!$P$48</definedName>
    <definedName name="OSRRefP22_2x_0" localSheetId="70">'310 &amp; 491'!$P$50</definedName>
    <definedName name="OSRRefP22_2x_0" localSheetId="54">'311'!$P$57</definedName>
    <definedName name="OSRRefP22_2x_0" localSheetId="57">'315'!$P$65</definedName>
    <definedName name="OSRRefP22_2x_0" localSheetId="60">'316'!$P$47</definedName>
    <definedName name="OSRRefP22_2x_0" localSheetId="62">'317'!$P$57</definedName>
    <definedName name="OSRRefP22_2x_0" localSheetId="65">'321'!$P$44</definedName>
    <definedName name="OSRRefP22_2x_0" localSheetId="67">'325'!$P$46</definedName>
    <definedName name="OSRRefP22_2x_0" localSheetId="58">'326'!$P$49</definedName>
    <definedName name="OSRRefP22_2x_0" localSheetId="51">'330'!$P$54</definedName>
    <definedName name="OSRRefP22_2x_0" localSheetId="56">'331'!$P$65</definedName>
    <definedName name="OSRRefP22_2x_0" localSheetId="59">'332'!$P$47</definedName>
    <definedName name="OSRRefP22_2x_0" localSheetId="72">'405'!$P$48</definedName>
    <definedName name="OSRRefP22_2x_0" localSheetId="74">'411'!$P$41</definedName>
    <definedName name="OSRRefP22_2x_0" localSheetId="75">'412'!$P$24</definedName>
    <definedName name="OSRRefP22_2x_0" localSheetId="76">'413'!$P$24</definedName>
    <definedName name="OSRRefP22_2x_0" localSheetId="78">'415'!$P$48</definedName>
    <definedName name="OSRRefP22_2x_0" localSheetId="79">'418'!$P$45</definedName>
    <definedName name="OSRRefP22_2x_0" localSheetId="80">'423'!$P$40</definedName>
    <definedName name="OSRRefP22_2x_0" localSheetId="82">'425'!$P$26</definedName>
    <definedName name="OSRRefP22_2x_0" localSheetId="84">'430'!$P$41</definedName>
    <definedName name="OSRRefP22_2x_0" localSheetId="85">'433'!$P$49</definedName>
    <definedName name="OSRRefP22_2x_0" localSheetId="86">'444'!$P$49</definedName>
    <definedName name="OSRRefP22_2x_0" localSheetId="87">'450'!$P$49</definedName>
    <definedName name="OSRRefP22_2x_0" localSheetId="71">'491'!$P$49</definedName>
    <definedName name="OSRRefP22_2x_0" localSheetId="83">'492'!$P$49</definedName>
    <definedName name="OSRRefP22_2x_0" localSheetId="89">'501'!$P$43</definedName>
    <definedName name="OSRRefP22_2x_0" localSheetId="39">'Div 2'!$P$43</definedName>
    <definedName name="OSRRefP22_2x_0" localSheetId="47">'Div 3'!$P$80</definedName>
    <definedName name="OSRRefP22_2x_0" localSheetId="69">'Div 4'!$P$51</definedName>
    <definedName name="OSRRefP22_2x_0" localSheetId="88">'Div 5'!$P$43</definedName>
    <definedName name="OSRRefP22_2x_0" localSheetId="61">'Div 6'!$P$57</definedName>
    <definedName name="OSRRefP22_2x_0" localSheetId="2">Summary!$P$88</definedName>
    <definedName name="OSRRefP22_3x_0" localSheetId="40">'200'!$P$26:$P$27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'204'!$P$43:$P$44</definedName>
    <definedName name="OSRRefP22_3x_0" localSheetId="45">'205'!$P$43</definedName>
    <definedName name="OSRRefP22_3x_0" localSheetId="46">'206'!$P$43</definedName>
    <definedName name="OSRRefP22_3x_0" localSheetId="48">'300'!$P$78</definedName>
    <definedName name="OSRRefP22_3x_0" localSheetId="49">'300 &amp; 317'!$P$84</definedName>
    <definedName name="OSRRefP22_3x_0" localSheetId="50">'301'!$P$45</definedName>
    <definedName name="OSRRefP22_3x_0" localSheetId="52">'307'!$P$56</definedName>
    <definedName name="OSRRefP22_3x_0" localSheetId="53">'308'!$P$59</definedName>
    <definedName name="OSRRefP22_3x_0" localSheetId="64">'309'!$P$27</definedName>
    <definedName name="OSRRefP22_3x_0" localSheetId="63">'310'!$P$50</definedName>
    <definedName name="OSRRefP22_3x_0" localSheetId="70">'310 &amp; 491'!$P$52</definedName>
    <definedName name="OSRRefP22_3x_0" localSheetId="54">'311'!$P$59</definedName>
    <definedName name="OSRRefP22_3x_0" localSheetId="57">'315'!$P$67</definedName>
    <definedName name="OSRRefP22_3x_0" localSheetId="60">'316'!$P$49</definedName>
    <definedName name="OSRRefP22_3x_0" localSheetId="62">'317'!$P$59</definedName>
    <definedName name="OSRRefP22_3x_0" localSheetId="65">'321'!$P$46</definedName>
    <definedName name="OSRRefP22_3x_0" localSheetId="67">'325'!$P$48</definedName>
    <definedName name="OSRRefP22_3x_0" localSheetId="58">'326'!$P$51</definedName>
    <definedName name="OSRRefP22_3x_0" localSheetId="51">'330'!$P$56</definedName>
    <definedName name="OSRRefP22_3x_0" localSheetId="56">'331'!$P$67</definedName>
    <definedName name="OSRRefP22_3x_0" localSheetId="59">'332'!$P$49</definedName>
    <definedName name="OSRRefP22_3x_0" localSheetId="72">'405'!$P$50</definedName>
    <definedName name="OSRRefP22_3x_0" localSheetId="74">'411'!$P$43:$P$44</definedName>
    <definedName name="OSRRefP22_3x_0" localSheetId="75">'412'!$P$26</definedName>
    <definedName name="OSRRefP22_3x_0" localSheetId="78">'415'!$P$50</definedName>
    <definedName name="OSRRefP22_3x_0" localSheetId="79">'418'!$P$47</definedName>
    <definedName name="OSRRefP22_3x_0" localSheetId="80">'423'!$P$42</definedName>
    <definedName name="OSRRefP22_3x_0" localSheetId="82">'425'!$P$28</definedName>
    <definedName name="OSRRefP22_3x_0" localSheetId="84">'430'!$P$43</definedName>
    <definedName name="OSRRefP22_3x_0" localSheetId="85">'433'!$P$51</definedName>
    <definedName name="OSRRefP22_3x_0" localSheetId="86">'444'!$P$51</definedName>
    <definedName name="OSRRefP22_3x_0" localSheetId="87">'450'!$P$51</definedName>
    <definedName name="OSRRefP22_3x_0" localSheetId="71">'491'!$P$51</definedName>
    <definedName name="OSRRefP22_3x_0" localSheetId="83">'492'!$P$51</definedName>
    <definedName name="OSRRefP22_3x_0" localSheetId="89">'501'!$P$45</definedName>
    <definedName name="OSRRefP22_3x_0" localSheetId="39">'Div 2'!$P$45</definedName>
    <definedName name="OSRRefP22_3x_0" localSheetId="47">'Div 3'!$P$82</definedName>
    <definedName name="OSRRefP22_3x_0" localSheetId="69">'Div 4'!$P$53</definedName>
    <definedName name="OSRRefP22_3x_0" localSheetId="88">'Div 5'!$P$45</definedName>
    <definedName name="OSRRefP22_3x_0" localSheetId="61">'Div 6'!$P$59</definedName>
    <definedName name="OSRRefP22_3x_0" localSheetId="2">Summary!$P$90</definedName>
    <definedName name="OSRRefP22_4x_0" localSheetId="41">'201'!$P$45</definedName>
    <definedName name="OSRRefP22_4x_0" localSheetId="42">'202'!$P$45</definedName>
    <definedName name="OSRRefP22_4x_0" localSheetId="43">'203'!$P$46</definedName>
    <definedName name="OSRRefP22_4x_0" localSheetId="44">'204'!$P$46</definedName>
    <definedName name="OSRRefP22_4x_0" localSheetId="45">'205'!$P$45:$P$46</definedName>
    <definedName name="OSRRefP22_4x_0" localSheetId="46">'206'!$P$45:$P$46</definedName>
    <definedName name="OSRRefP22_4x_0" localSheetId="48">'300'!$P$80</definedName>
    <definedName name="OSRRefP22_4x_0" localSheetId="49">'300 &amp; 317'!$P$86</definedName>
    <definedName name="OSRRefP22_4x_0" localSheetId="50">'301'!$P$47</definedName>
    <definedName name="OSRRefP22_4x_0" localSheetId="52">'307'!$P$58</definedName>
    <definedName name="OSRRefP22_4x_0" localSheetId="53">'308'!$P$61</definedName>
    <definedName name="OSRRefP22_4x_0" localSheetId="63">'310'!$P$52</definedName>
    <definedName name="OSRRefP22_4x_0" localSheetId="70">'310 &amp; 491'!$P$54</definedName>
    <definedName name="OSRRefP22_4x_0" localSheetId="54">'311'!$P$61</definedName>
    <definedName name="OSRRefP22_4x_0" localSheetId="57">'315'!$P$69</definedName>
    <definedName name="OSRRefP22_4x_0" localSheetId="60">'316'!$P$51</definedName>
    <definedName name="OSRRefP22_4x_0" localSheetId="62">'317'!$P$61</definedName>
    <definedName name="OSRRefP22_4x_0" localSheetId="65">'321'!$P$48</definedName>
    <definedName name="OSRRefP22_4x_0" localSheetId="67">'325'!$P$50</definedName>
    <definedName name="OSRRefP22_4x_0" localSheetId="58">'326'!$P$53</definedName>
    <definedName name="OSRRefP22_4x_0" localSheetId="51">'330'!$P$58</definedName>
    <definedName name="OSRRefP22_4x_0" localSheetId="56">'331'!$P$69</definedName>
    <definedName name="OSRRefP22_4x_0" localSheetId="59">'332'!$P$51</definedName>
    <definedName name="OSRRefP22_4x_0" localSheetId="72">'405'!$P$52</definedName>
    <definedName name="OSRRefP22_4x_0" localSheetId="74">'411'!$P$46</definedName>
    <definedName name="OSRRefP22_4x_0" localSheetId="78">'415'!$P$52</definedName>
    <definedName name="OSRRefP22_4x_0" localSheetId="79">'418'!$P$49:$P$50</definedName>
    <definedName name="OSRRefP22_4x_0" localSheetId="80">'423'!$P$44</definedName>
    <definedName name="OSRRefP22_4x_0" localSheetId="82">'425'!$P$30</definedName>
    <definedName name="OSRRefP22_4x_0" localSheetId="84">'430'!$P$45</definedName>
    <definedName name="OSRRefP22_4x_0" localSheetId="85">'433'!$P$53</definedName>
    <definedName name="OSRRefP22_4x_0" localSheetId="86">'444'!$P$53</definedName>
    <definedName name="OSRRefP22_4x_0" localSheetId="87">'450'!$P$53</definedName>
    <definedName name="OSRRefP22_4x_0" localSheetId="71">'491'!$P$53</definedName>
    <definedName name="OSRRefP22_4x_0" localSheetId="83">'492'!$P$53</definedName>
    <definedName name="OSRRefP22_4x_0" localSheetId="89">'501'!$P$47</definedName>
    <definedName name="OSRRefP22_4x_0" localSheetId="39">'Div 2'!$P$47</definedName>
    <definedName name="OSRRefP22_4x_0" localSheetId="47">'Div 3'!$P$84</definedName>
    <definedName name="OSRRefP22_4x_0" localSheetId="69">'Div 4'!$P$55</definedName>
    <definedName name="OSRRefP22_4x_0" localSheetId="88">'Div 5'!$P$47</definedName>
    <definedName name="OSRRefP22_4x_0" localSheetId="61">'Div 6'!$P$61</definedName>
    <definedName name="OSRRefP22_4x_0" localSheetId="2">Summary!$P$92</definedName>
    <definedName name="OSRRefP22_5x_0" localSheetId="41">'201'!$P$47</definedName>
    <definedName name="OSRRefP22_5x_0" localSheetId="42">'202'!$P$47</definedName>
    <definedName name="OSRRefP22_5x_0" localSheetId="43">'203'!$P$48</definedName>
    <definedName name="OSRRefP22_5x_0" localSheetId="44">'204'!$P$48:$P$51</definedName>
    <definedName name="OSRRefP22_5x_0" localSheetId="45">'205'!$P$48</definedName>
    <definedName name="OSRRefP22_5x_0" localSheetId="46">'206'!$P$48</definedName>
    <definedName name="OSRRefP22_5x_0" localSheetId="48">'300'!$P$82:$P$83</definedName>
    <definedName name="OSRRefP22_5x_0" localSheetId="49">'300 &amp; 317'!$P$88:$P$89</definedName>
    <definedName name="OSRRefP22_5x_0" localSheetId="50">'301'!$P$49:$P$50</definedName>
    <definedName name="OSRRefP22_5x_0" localSheetId="52">'307'!$P$60:$P$61</definedName>
    <definedName name="OSRRefP22_5x_0" localSheetId="53">'308'!$P$63</definedName>
    <definedName name="OSRRefP22_5x_0" localSheetId="63">'310'!$P$54:$P$55</definedName>
    <definedName name="OSRRefP22_5x_0" localSheetId="70">'310 &amp; 491'!$P$56:$P$57</definedName>
    <definedName name="OSRRefP22_5x_0" localSheetId="54">'311'!$P$63</definedName>
    <definedName name="OSRRefP22_5x_0" localSheetId="57">'315'!$P$71</definedName>
    <definedName name="OSRRefP22_5x_0" localSheetId="60">'316'!$P$53:$P$54</definedName>
    <definedName name="OSRRefP22_5x_0" localSheetId="62">'317'!$P$63</definedName>
    <definedName name="OSRRefP22_5x_0" localSheetId="65">'321'!$P$50</definedName>
    <definedName name="OSRRefP22_5x_0" localSheetId="67">'325'!$P$52:$P$53</definedName>
    <definedName name="OSRRefP22_5x_0" localSheetId="58">'326'!$P$55</definedName>
    <definedName name="OSRRefP22_5x_0" localSheetId="51">'330'!$P$60:$P$61</definedName>
    <definedName name="OSRRefP22_5x_0" localSheetId="56">'331'!$P$71</definedName>
    <definedName name="OSRRefP22_5x_0" localSheetId="59">'332'!$P$53:$P$54</definedName>
    <definedName name="OSRRefP22_5x_0" localSheetId="72">'405'!$P$54:$P$55</definedName>
    <definedName name="OSRRefP22_5x_0" localSheetId="74">'411'!$P$48</definedName>
    <definedName name="OSRRefP22_5x_0" localSheetId="78">'415'!$P$54:$P$55</definedName>
    <definedName name="OSRRefP22_5x_0" localSheetId="79">'418'!$P$52</definedName>
    <definedName name="OSRRefP22_5x_0" localSheetId="80">'423'!$P$46</definedName>
    <definedName name="OSRRefP22_5x_0" localSheetId="82">'425'!$P$32</definedName>
    <definedName name="OSRRefP22_5x_0" localSheetId="84">'430'!$P$47:$P$48</definedName>
    <definedName name="OSRRefP22_5x_0" localSheetId="85">'433'!$P$55</definedName>
    <definedName name="OSRRefP22_5x_0" localSheetId="86">'444'!$P$55</definedName>
    <definedName name="OSRRefP22_5x_0" localSheetId="87">'450'!$P$55</definedName>
    <definedName name="OSRRefP22_5x_0" localSheetId="71">'491'!$P$55:$P$56</definedName>
    <definedName name="OSRRefP22_5x_0" localSheetId="83">'492'!$P$55</definedName>
    <definedName name="OSRRefP22_5x_0" localSheetId="89">'501'!$P$49:$P$50</definedName>
    <definedName name="OSRRefP22_5x_0" localSheetId="39">'Div 2'!$P$49:$P$50</definedName>
    <definedName name="OSRRefP22_5x_0" localSheetId="47">'Div 3'!$P$86:$P$87</definedName>
    <definedName name="OSRRefP22_5x_0" localSheetId="69">'Div 4'!$P$57:$P$58</definedName>
    <definedName name="OSRRefP22_5x_0" localSheetId="88">'Div 5'!$P$49:$P$50</definedName>
    <definedName name="OSRRefP22_5x_0" localSheetId="61">'Div 6'!$P$63</definedName>
    <definedName name="OSRRefP22_5x_0" localSheetId="2">Summary!$P$94:$P$95</definedName>
    <definedName name="OSRRefP22_6x_0" localSheetId="41">'201'!$P$49</definedName>
    <definedName name="OSRRefP22_6x_0" localSheetId="42">'202'!$P$49:$P$51</definedName>
    <definedName name="OSRRefP22_6x_0" localSheetId="43">'203'!$P$50</definedName>
    <definedName name="OSRRefP22_6x_0" localSheetId="44">'204'!$P$53</definedName>
    <definedName name="OSRRefP22_6x_0" localSheetId="45">'205'!$P$50:$P$52</definedName>
    <definedName name="OSRRefP22_6x_0" localSheetId="46">'206'!$P$50:$P$51</definedName>
    <definedName name="OSRRefP22_6x_0" localSheetId="48">'300'!$P$85:$P$86</definedName>
    <definedName name="OSRRefP22_6x_0" localSheetId="49">'300 &amp; 317'!$P$91:$P$92</definedName>
    <definedName name="OSRRefP22_6x_0" localSheetId="50">'301'!$P$52</definedName>
    <definedName name="OSRRefP22_6x_0" localSheetId="52">'307'!$P$63</definedName>
    <definedName name="OSRRefP22_6x_0" localSheetId="53">'308'!$P$65</definedName>
    <definedName name="OSRRefP22_6x_0" localSheetId="63">'310'!$P$57</definedName>
    <definedName name="OSRRefP22_6x_0" localSheetId="70">'310 &amp; 491'!$P$59</definedName>
    <definedName name="OSRRefP22_6x_0" localSheetId="54">'311'!$P$65</definedName>
    <definedName name="OSRRefP22_6x_0" localSheetId="57">'315'!$P$73</definedName>
    <definedName name="OSRRefP22_6x_0" localSheetId="60">'316'!$P$56</definedName>
    <definedName name="OSRRefP22_6x_0" localSheetId="62">'317'!$P$65</definedName>
    <definedName name="OSRRefP22_6x_0" localSheetId="65">'321'!$P$52:$P$53</definedName>
    <definedName name="OSRRefP22_6x_0" localSheetId="67">'325'!$P$55</definedName>
    <definedName name="OSRRefP22_6x_0" localSheetId="58">'326'!$P$57</definedName>
    <definedName name="OSRRefP22_6x_0" localSheetId="51">'330'!$P$63</definedName>
    <definedName name="OSRRefP22_6x_0" localSheetId="56">'331'!$P$73</definedName>
    <definedName name="OSRRefP22_6x_0" localSheetId="59">'332'!$P$56</definedName>
    <definedName name="OSRRefP22_6x_0" localSheetId="72">'405'!$P$57</definedName>
    <definedName name="OSRRefP22_6x_0" localSheetId="74">'411'!$P$50</definedName>
    <definedName name="OSRRefP22_6x_0" localSheetId="78">'415'!$P$57</definedName>
    <definedName name="OSRRefP22_6x_0" localSheetId="79">'418'!$P$54</definedName>
    <definedName name="OSRRefP22_6x_0" localSheetId="84">'430'!$P$50:$P$51</definedName>
    <definedName name="OSRRefP22_6x_0" localSheetId="85">'433'!$P$57</definedName>
    <definedName name="OSRRefP22_6x_0" localSheetId="86">'444'!$P$57</definedName>
    <definedName name="OSRRefP22_6x_0" localSheetId="87">'450'!$P$57</definedName>
    <definedName name="OSRRefP22_6x_0" localSheetId="71">'491'!$P$58</definedName>
    <definedName name="OSRRefP22_6x_0" localSheetId="83">'492'!$P$57</definedName>
    <definedName name="OSRRefP22_6x_0" localSheetId="89">'501'!$P$52</definedName>
    <definedName name="OSRRefP22_6x_0" localSheetId="39">'Div 2'!$P$52</definedName>
    <definedName name="OSRRefP22_6x_0" localSheetId="47">'Div 3'!$P$89:$P$90</definedName>
    <definedName name="OSRRefP22_6x_0" localSheetId="69">'Div 4'!$P$60</definedName>
    <definedName name="OSRRefP22_6x_0" localSheetId="88">'Div 5'!$P$52</definedName>
    <definedName name="OSRRefP22_6x_0" localSheetId="61">'Div 6'!$P$65</definedName>
    <definedName name="OSRRefP22_6x_0" localSheetId="2">Summary!$P$97:$P$98</definedName>
    <definedName name="OSRRefP22_7x_0" localSheetId="41">'201'!$P$51</definedName>
    <definedName name="OSRRefP22_7x_0" localSheetId="42">'202'!$P$53</definedName>
    <definedName name="OSRRefP22_7x_0" localSheetId="43">'203'!$P$52</definedName>
    <definedName name="OSRRefP22_7x_0" localSheetId="44">'204'!$P$55:$P$56</definedName>
    <definedName name="OSRRefP22_7x_0" localSheetId="45">'205'!$P$54</definedName>
    <definedName name="OSRRefP22_7x_0" localSheetId="46">'206'!$P$53</definedName>
    <definedName name="OSRRefP22_7x_0" localSheetId="48">'300'!$P$88</definedName>
    <definedName name="OSRRefP22_7x_0" localSheetId="49">'300 &amp; 317'!$P$94</definedName>
    <definedName name="OSRRefP22_7x_0" localSheetId="50">'301'!$P$54</definedName>
    <definedName name="OSRRefP22_7x_0" localSheetId="52">'307'!$P$65</definedName>
    <definedName name="OSRRefP22_7x_0" localSheetId="53">'308'!$P$67</definedName>
    <definedName name="OSRRefP22_7x_0" localSheetId="63">'310'!$P$59</definedName>
    <definedName name="OSRRefP22_7x_0" localSheetId="70">'310 &amp; 491'!$P$61</definedName>
    <definedName name="OSRRefP22_7x_0" localSheetId="54">'311'!$P$67</definedName>
    <definedName name="OSRRefP22_7x_0" localSheetId="57">'315'!$P$75:$P$76</definedName>
    <definedName name="OSRRefP22_7x_0" localSheetId="60">'316'!$P$58:$P$60</definedName>
    <definedName name="OSRRefP22_7x_0" localSheetId="62">'317'!$P$67</definedName>
    <definedName name="OSRRefP22_7x_0" localSheetId="65">'321'!$P$55</definedName>
    <definedName name="OSRRefP22_7x_0" localSheetId="67">'325'!$P$57</definedName>
    <definedName name="OSRRefP22_7x_0" localSheetId="58">'326'!$P$59</definedName>
    <definedName name="OSRRefP22_7x_0" localSheetId="51">'330'!$P$65</definedName>
    <definedName name="OSRRefP22_7x_0" localSheetId="56">'331'!$P$75:$P$76</definedName>
    <definedName name="OSRRefP22_7x_0" localSheetId="59">'332'!$P$58:$P$60</definedName>
    <definedName name="OSRRefP22_7x_0" localSheetId="72">'405'!$P$59</definedName>
    <definedName name="OSRRefP22_7x_0" localSheetId="74">'411'!$P$52</definedName>
    <definedName name="OSRRefP22_7x_0" localSheetId="78">'415'!$P$59</definedName>
    <definedName name="OSRRefP22_7x_0" localSheetId="79">'418'!$P$56</definedName>
    <definedName name="OSRRefP22_7x_0" localSheetId="84">'430'!$P$53</definedName>
    <definedName name="OSRRefP22_7x_0" localSheetId="85">'433'!$P$59</definedName>
    <definedName name="OSRRefP22_7x_0" localSheetId="86">'444'!$P$59</definedName>
    <definedName name="OSRRefP22_7x_0" localSheetId="87">'450'!$P$59</definedName>
    <definedName name="OSRRefP22_7x_0" localSheetId="71">'491'!$P$60</definedName>
    <definedName name="OSRRefP22_7x_0" localSheetId="83">'492'!$P$59</definedName>
    <definedName name="OSRRefP22_7x_0" localSheetId="89">'501'!$P$54</definedName>
    <definedName name="OSRRefP22_7x_0" localSheetId="39">'Div 2'!$P$54</definedName>
    <definedName name="OSRRefP22_7x_0" localSheetId="47">'Div 3'!$P$92</definedName>
    <definedName name="OSRRefP22_7x_0" localSheetId="69">'Div 4'!$P$62</definedName>
    <definedName name="OSRRefP22_7x_0" localSheetId="88">'Div 5'!$P$54</definedName>
    <definedName name="OSRRefP22_7x_0" localSheetId="61">'Div 6'!$P$67</definedName>
    <definedName name="OSRRefP22_7x_0" localSheetId="2">Summary!$P$100</definedName>
    <definedName name="OSRRefP22_8x_0" localSheetId="41">'201'!$P$53:$P$54</definedName>
    <definedName name="OSRRefP22_8x_0" localSheetId="42">'202'!$P$55</definedName>
    <definedName name="OSRRefP22_8x_0" localSheetId="43">'203'!$P$54:$P$56</definedName>
    <definedName name="OSRRefP22_8x_0" localSheetId="48">'300'!$P$90</definedName>
    <definedName name="OSRRefP22_8x_0" localSheetId="49">'300 &amp; 317'!$P$96</definedName>
    <definedName name="OSRRefP22_8x_0" localSheetId="50">'301'!$P$56</definedName>
    <definedName name="OSRRefP22_8x_0" localSheetId="52">'307'!$P$67</definedName>
    <definedName name="OSRRefP22_8x_0" localSheetId="53">'308'!$P$69:$P$71</definedName>
    <definedName name="OSRRefP22_8x_0" localSheetId="63">'310'!$P$61</definedName>
    <definedName name="OSRRefP22_8x_0" localSheetId="70">'310 &amp; 491'!$P$63</definedName>
    <definedName name="OSRRefP22_8x_0" localSheetId="54">'311'!$P$69:$P$71</definedName>
    <definedName name="OSRRefP22_8x_0" localSheetId="57">'315'!$P$78</definedName>
    <definedName name="OSRRefP22_8x_0" localSheetId="60">'316'!$P$62</definedName>
    <definedName name="OSRRefP22_8x_0" localSheetId="62">'317'!$P$69:$P$70</definedName>
    <definedName name="OSRRefP22_8x_0" localSheetId="65">'321'!$P$57:$P$58</definedName>
    <definedName name="OSRRefP22_8x_0" localSheetId="67">'325'!$P$59</definedName>
    <definedName name="OSRRefP22_8x_0" localSheetId="58">'326'!$P$61</definedName>
    <definedName name="OSRRefP22_8x_0" localSheetId="51">'330'!$P$67</definedName>
    <definedName name="OSRRefP22_8x_0" localSheetId="56">'331'!$P$78:$P$79</definedName>
    <definedName name="OSRRefP22_8x_0" localSheetId="59">'332'!$P$62</definedName>
    <definedName name="OSRRefP22_8x_0" localSheetId="72">'405'!$P$61</definedName>
    <definedName name="OSRRefP22_8x_0" localSheetId="74">'411'!$P$54:$P$56</definedName>
    <definedName name="OSRRefP22_8x_0" localSheetId="78">'415'!$P$61</definedName>
    <definedName name="OSRRefP22_8x_0" localSheetId="79">'418'!$P$58:$P$59</definedName>
    <definedName name="OSRRefP22_8x_0" localSheetId="84">'430'!$P$55</definedName>
    <definedName name="OSRRefP22_8x_0" localSheetId="85">'433'!$P$61</definedName>
    <definedName name="OSRRefP22_8x_0" localSheetId="86">'444'!$P$61</definedName>
    <definedName name="OSRRefP22_8x_0" localSheetId="87">'450'!$P$61</definedName>
    <definedName name="OSRRefP22_8x_0" localSheetId="71">'491'!$P$62</definedName>
    <definedName name="OSRRefP22_8x_0" localSheetId="83">'492'!$P$61</definedName>
    <definedName name="OSRRefP22_8x_0" localSheetId="89">'501'!$P$56</definedName>
    <definedName name="OSRRefP22_8x_0" localSheetId="39">'Div 2'!$P$56</definedName>
    <definedName name="OSRRefP22_8x_0" localSheetId="47">'Div 3'!$P$94</definedName>
    <definedName name="OSRRefP22_8x_0" localSheetId="69">'Div 4'!$P$64</definedName>
    <definedName name="OSRRefP22_8x_0" localSheetId="88">'Div 5'!$P$56</definedName>
    <definedName name="OSRRefP22_8x_0" localSheetId="61">'Div 6'!$P$69:$P$70</definedName>
    <definedName name="OSRRefP22_8x_0" localSheetId="2">Summary!$P$102</definedName>
    <definedName name="OSRRefP22_9x_0" localSheetId="41">'201'!$P$56:$P$57</definedName>
    <definedName name="OSRRefP22_9x_0" localSheetId="42">'202'!$P$57</definedName>
    <definedName name="OSRRefP22_9x_0" localSheetId="43">'203'!$P$58:$P$59</definedName>
    <definedName name="OSRRefP22_9x_0" localSheetId="48">'300'!$P$92</definedName>
    <definedName name="OSRRefP22_9x_0" localSheetId="49">'300 &amp; 317'!$P$98</definedName>
    <definedName name="OSRRefP22_9x_0" localSheetId="50">'301'!$P$58</definedName>
    <definedName name="OSRRefP22_9x_0" localSheetId="52">'307'!$P$69:$P$70</definedName>
    <definedName name="OSRRefP22_9x_0" localSheetId="53">'308'!$P$73</definedName>
    <definedName name="OSRRefP22_9x_0" localSheetId="63">'310'!$P$63</definedName>
    <definedName name="OSRRefP22_9x_0" localSheetId="70">'310 &amp; 491'!$P$65</definedName>
    <definedName name="OSRRefP22_9x_0" localSheetId="54">'311'!$P$73</definedName>
    <definedName name="OSRRefP22_9x_0" localSheetId="57">'315'!$P$80</definedName>
    <definedName name="OSRRefP22_9x_0" localSheetId="60">'316'!$P$64:$P$67</definedName>
    <definedName name="OSRRefP22_9x_0" localSheetId="62">'317'!$P$72</definedName>
    <definedName name="OSRRefP22_9x_0" localSheetId="65">'321'!$P$60:$P$63</definedName>
    <definedName name="OSRRefP22_9x_0" localSheetId="67">'325'!$P$61</definedName>
    <definedName name="OSRRefP22_9x_0" localSheetId="58">'326'!$P$63</definedName>
    <definedName name="OSRRefP22_9x_0" localSheetId="51">'330'!$P$69:$P$70</definedName>
    <definedName name="OSRRefP22_9x_0" localSheetId="56">'331'!$P$81</definedName>
    <definedName name="OSRRefP22_9x_0" localSheetId="59">'332'!$P$64:$P$67</definedName>
    <definedName name="OSRRefP22_9x_0" localSheetId="72">'405'!$P$63:$P$64</definedName>
    <definedName name="OSRRefP22_9x_0" localSheetId="74">'411'!$P$58:$P$60</definedName>
    <definedName name="OSRRefP22_9x_0" localSheetId="78">'415'!$P$63</definedName>
    <definedName name="OSRRefP22_9x_0" localSheetId="79">'418'!$P$61:$P$64</definedName>
    <definedName name="OSRRefP22_9x_0" localSheetId="85">'433'!$P$63</definedName>
    <definedName name="OSRRefP22_9x_0" localSheetId="86">'444'!$P$63</definedName>
    <definedName name="OSRRefP22_9x_0" localSheetId="87">'450'!$P$63</definedName>
    <definedName name="OSRRefP22_9x_0" localSheetId="71">'491'!$P$64</definedName>
    <definedName name="OSRRefP22_9x_0" localSheetId="83">'492'!$P$63</definedName>
    <definedName name="OSRRefP22_9x_0" localSheetId="89">'501'!$P$58:$P$60</definedName>
    <definedName name="OSRRefP22_9x_0" localSheetId="39">'Div 2'!$P$58</definedName>
    <definedName name="OSRRefP22_9x_0" localSheetId="47">'Div 3'!$P$96</definedName>
    <definedName name="OSRRefP22_9x_0" localSheetId="69">'Div 4'!$P$66</definedName>
    <definedName name="OSRRefP22_9x_0" localSheetId="88">'Div 5'!$P$58:$P$60</definedName>
    <definedName name="OSRRefP22_9x_0" localSheetId="61">'Div 6'!$P$72</definedName>
    <definedName name="OSRRefP22_9x_0" localSheetId="2">Summary!$P$104</definedName>
    <definedName name="OSRRefP22x_0" localSheetId="40">'200'!$P$20,'200'!$P$22,'200'!$P$24,'200'!$P$26:$P$27</definedName>
    <definedName name="OSRRefP22x_0" localSheetId="41">'201'!$P$20:$P$28,'201'!$P$30:$P$39,'201'!$P$41,'201'!$P$43,'201'!$P$45,'201'!$P$47,'201'!$P$49,'201'!$P$51,'201'!$P$53:$P$54,'201'!$P$56:$P$57,'201'!$P$59,'201'!$P$61:$P$62,'201'!$P$64,'201'!$P$66</definedName>
    <definedName name="OSRRefP22x_0" localSheetId="42">'202'!$P$20:$P$28,'202'!$P$30:$P$39,'202'!$P$41,'202'!$P$43,'202'!$P$45,'202'!$P$47,'202'!$P$49:$P$51,'202'!$P$53,'202'!$P$55,'202'!$P$57,'202'!$P$59,'202'!$P$61</definedName>
    <definedName name="OSRRefP22x_0" localSheetId="43">'203'!$P$20:$P$29,'203'!$P$31:$P$40,'203'!$P$42,'203'!$P$44,'203'!$P$46,'203'!$P$48,'203'!$P$50,'203'!$P$52,'203'!$P$54:$P$56,'203'!$P$58:$P$59,'203'!$P$61,'203'!$P$63:$P$66,'203'!$P$68,'203'!$P$70</definedName>
    <definedName name="OSRRefP22x_0" localSheetId="44">'204'!$P$20:$P$28,'204'!$P$30:$P$39,'204'!$P$41,'204'!$P$43:$P$44,'204'!$P$46,'204'!$P$48:$P$51,'204'!$P$53,'204'!$P$55:$P$56</definedName>
    <definedName name="OSRRefP22x_0" localSheetId="45">'205'!$P$20:$P$28,'205'!$P$30:$P$39,'205'!$P$41,'205'!$P$43,'205'!$P$45:$P$46,'205'!$P$48,'205'!$P$50:$P$52,'205'!$P$54</definedName>
    <definedName name="OSRRefP22x_0" localSheetId="46">'206'!$P$20:$P$28,'206'!$P$30:$P$39,'206'!$P$41,'206'!$P$43,'206'!$P$45:$P$46,'206'!$P$48,'206'!$P$50:$P$51,'206'!$P$53</definedName>
    <definedName name="OSRRefP22x_0" localSheetId="48">'300'!$P$54:$P$63,'300'!$P$65:$P$74,'300'!$P$76,'300'!$P$78,'300'!$P$80,'300'!$P$82:$P$83,'300'!$P$85:$P$86,'300'!$P$88,'300'!$P$90,'300'!$P$92,'300'!$P$94:$P$95,'300'!$P$97:$P$98,'300'!$P$100,'300'!$P$102,'300'!$P$104,'300'!$P$106,'300'!$P$108:$P$111,'300'!$P$113:$P$116,'300'!$P$118:$P$120,'300'!$P$122:$P$123,'300'!$P$125:$P$131,'300'!$P$133:$P$134,'300'!$P$136,'300'!$P$138:$P$140,'300'!$P$142</definedName>
    <definedName name="OSRRefP22x_0" localSheetId="49">'300 &amp; 317'!$P$60:$P$69,'300 &amp; 317'!$P$71:$P$80,'300 &amp; 317'!$P$82,'300 &amp; 317'!$P$84,'300 &amp; 317'!$P$86,'300 &amp; 317'!$P$88:$P$89,'300 &amp; 317'!$P$91:$P$92,'300 &amp; 317'!$P$94,'300 &amp; 317'!$P$96,'300 &amp; 317'!$P$98,'300 &amp; 317'!$P$100:$P$101,'300 &amp; 317'!$P$103:$P$104,'300 &amp; 317'!$P$106,'300 &amp; 317'!$P$108,'300 &amp; 317'!$P$110,'300 &amp; 317'!$P$112,'300 &amp; 317'!$P$114:$P$117,'300 &amp; 317'!$P$119:$P$122,'300 &amp; 317'!$P$124:$P$126,'300 &amp; 317'!$P$128:$P$129,'300 &amp; 317'!$P$131:$P$137,'300 &amp; 317'!$P$139:$P$140,'300 &amp; 317'!$P$142,'300 &amp; 317'!$P$144:$P$146,'300 &amp; 317'!$P$148</definedName>
    <definedName name="OSRRefP22x_0" localSheetId="50">'301'!$P$21:$P$30,'301'!$P$32:$P$41,'301'!$P$43,'301'!$P$45,'301'!$P$47,'301'!$P$49:$P$50,'301'!$P$52,'301'!$P$54,'301'!$P$56,'301'!$P$58,'301'!$P$60,'301'!$P$62,'301'!$P$64,'301'!$P$66,'301'!$P$68,'301'!$P$70:$P$73,'301'!$P$75:$P$76,'301'!$P$78,'301'!$P$80:$P$85,'301'!$P$87,'301'!$P$89,'301'!$P$91:$P$92,'301'!$P$94</definedName>
    <definedName name="OSRRefP22x_0" localSheetId="52">'307'!$P$34:$P$41,'307'!$P$43:$P$52,'307'!$P$54,'307'!$P$56,'307'!$P$58,'307'!$P$60:$P$61,'307'!$P$63,'307'!$P$65,'307'!$P$67,'307'!$P$69:$P$70,'307'!$P$72:$P$73,'307'!$P$75:$P$78,'307'!$P$80</definedName>
    <definedName name="OSRRefP22x_0" localSheetId="53">'308'!$P$35:$P$44,'308'!$P$46:$P$55,'308'!$P$57,'308'!$P$59,'308'!$P$61,'308'!$P$63,'308'!$P$65,'308'!$P$67,'308'!$P$69:$P$71,'308'!$P$73,'308'!$P$75:$P$76,'308'!$P$78:$P$79</definedName>
    <definedName name="OSRRefP22x_0" localSheetId="64">'309'!$P$20,'309'!$P$22,'309'!$P$24:$P$25,'309'!$P$27</definedName>
    <definedName name="OSRRefP22x_0" localSheetId="63">'310'!$P$27:$P$35,'310'!$P$37:$P$46,'310'!$P$48,'310'!$P$50,'310'!$P$52,'310'!$P$54:$P$55,'310'!$P$57,'310'!$P$59,'310'!$P$61,'310'!$P$63,'310'!$P$65:$P$67,'310'!$P$69,'310'!$P$71:$P$73,'310'!$P$75:$P$79,'310'!$P$81:$P$82,'310'!$P$84,'310'!$P$86</definedName>
    <definedName name="OSRRefP22x_0" localSheetId="70">'310 &amp; 491'!$P$29:$P$37,'310 &amp; 491'!$P$39:$P$48,'310 &amp; 491'!$P$50,'310 &amp; 491'!$P$52,'310 &amp; 491'!$P$54,'310 &amp; 491'!$P$56:$P$57,'310 &amp; 491'!$P$59,'310 &amp; 491'!$P$61,'310 &amp; 491'!$P$63,'310 &amp; 491'!$P$65,'310 &amp; 491'!$P$67,'310 &amp; 491'!$P$69,'310 &amp; 491'!$P$71:$P$73,'310 &amp; 491'!$P$75:$P$76,'310 &amp; 491'!$P$78:$P$82,'310 &amp; 491'!$P$84,'310 &amp; 491'!$P$86:$P$95,'310 &amp; 491'!$P$97:$P$98,'310 &amp; 491'!$P$100,'310 &amp; 491'!$P$102</definedName>
    <definedName name="OSRRefP22x_0" localSheetId="54">'311'!$P$35:$P$44,'311'!$P$46:$P$55,'311'!$P$57,'311'!$P$59,'311'!$P$61,'311'!$P$63,'311'!$P$65,'311'!$P$67,'311'!$P$69:$P$71,'311'!$P$73,'311'!$P$75:$P$76,'311'!$P$78:$P$79</definedName>
    <definedName name="OSRRefP22x_0" localSheetId="57">'315'!$P$44:$P$52,'315'!$P$54:$P$63,'315'!$P$65,'315'!$P$67,'315'!$P$69,'315'!$P$71,'315'!$P$73,'315'!$P$75:$P$76,'315'!$P$78,'315'!$P$80,'315'!$P$82,'315'!$P$84:$P$85,'315'!$P$87:$P$89,'315'!$P$91:$P$92,'315'!$P$94:$P$96,'315'!$P$98,'315'!$P$100</definedName>
    <definedName name="OSRRefP22x_0" localSheetId="60">'316'!$P$26:$P$34,'316'!$P$36:$P$45,'316'!$P$47,'316'!$P$49,'316'!$P$51,'316'!$P$53:$P$54,'316'!$P$56,'316'!$P$58:$P$60,'316'!$P$62,'316'!$P$64:$P$67,'316'!$P$69</definedName>
    <definedName name="OSRRefP22x_0" localSheetId="62">'317'!$P$35:$P$44,'317'!$P$46:$P$55,'317'!$P$57,'317'!$P$59,'317'!$P$61,'317'!$P$63,'317'!$P$65,'317'!$P$67,'317'!$P$69:$P$70,'317'!$P$72</definedName>
    <definedName name="OSRRefP22x_0" localSheetId="65">'321'!$P$23:$P$31,'321'!$P$33:$P$42,'321'!$P$44,'321'!$P$46,'321'!$P$48,'321'!$P$50,'321'!$P$52:$P$53,'321'!$P$55,'321'!$P$57:$P$58,'321'!$P$60:$P$63,'321'!$P$65,'321'!$P$67</definedName>
    <definedName name="OSRRefP22x_0" localSheetId="66">'322'!$P$20</definedName>
    <definedName name="OSRRefP22x_0" localSheetId="67">'325'!$P$25:$P$33,'325'!$P$35:$P$44,'325'!$P$46,'325'!$P$48,'325'!$P$50,'325'!$P$52:$P$53,'325'!$P$55,'325'!$P$57,'325'!$P$59,'325'!$P$61,'325'!$P$63:$P$65,'325'!$P$67:$P$69,'325'!$P$71:$P$75,'325'!$P$77:$P$78,'325'!$P$80</definedName>
    <definedName name="OSRRefP22x_0" localSheetId="58">'326'!$P$28:$P$36,'326'!$P$38:$P$47,'326'!$P$49,'326'!$P$51,'326'!$P$53,'326'!$P$55,'326'!$P$57,'326'!$P$59,'326'!$P$61,'326'!$P$63,'326'!$P$65,'326'!$P$67:$P$68,'326'!$P$70:$P$71,'326'!$P$73:$P$74,'326'!$P$76:$P$78,'326'!$P$80,'326'!$P$82:$P$83,'326'!$P$85</definedName>
    <definedName name="OSRRefP22x_0" localSheetId="68">'327'!$P$26</definedName>
    <definedName name="OSRRefP22x_0" localSheetId="51">'330'!$P$34:$P$41,'330'!$P$43:$P$52,'330'!$P$54,'330'!$P$56,'330'!$P$58,'330'!$P$60:$P$61,'330'!$P$63,'330'!$P$65,'330'!$P$67,'330'!$P$69:$P$70,'330'!$P$72:$P$73,'330'!$P$75:$P$78,'330'!$P$80</definedName>
    <definedName name="OSRRefP22x_0" localSheetId="56">'331'!$P$44:$P$52,'331'!$P$54:$P$63,'331'!$P$65,'331'!$P$67,'331'!$P$69,'331'!$P$71,'331'!$P$73,'331'!$P$75:$P$76,'331'!$P$78:$P$79,'331'!$P$81,'331'!$P$83,'331'!$P$85,'331'!$P$87,'331'!$P$89:$P$90,'331'!$P$92:$P$94,'331'!$P$96:$P$97,'331'!$P$99:$P$100,'331'!$P$102:$P$105,'331'!$P$107,'331'!$P$109:$P$110,'331'!$P$112</definedName>
    <definedName name="OSRRefP22x_0" localSheetId="59">'332'!$P$26:$P$34,'332'!$P$36:$P$45,'332'!$P$47,'332'!$P$49,'332'!$P$51,'332'!$P$53:$P$54,'332'!$P$56,'332'!$P$58:$P$60,'332'!$P$62,'332'!$P$64:$P$67,'332'!$P$69</definedName>
    <definedName name="OSRRefP22x_0" localSheetId="72">'405'!$P$27:$P$35,'405'!$P$37:$P$46,'405'!$P$48,'405'!$P$50,'405'!$P$52,'405'!$P$54:$P$55,'405'!$P$57,'405'!$P$59,'405'!$P$61,'405'!$P$63:$P$64,'405'!$P$66:$P$69,'405'!$P$71,'405'!$P$73:$P$80,'405'!$P$82,'405'!$P$84,'405'!$P$86</definedName>
    <definedName name="OSRRefP22x_0" localSheetId="73">'406'!$P$20,'406'!$P$22</definedName>
    <definedName name="OSRRefP22x_0" localSheetId="74">'411'!$P$20:$P$28,'411'!$P$30:$P$39,'411'!$P$41,'411'!$P$43:$P$44,'411'!$P$46,'411'!$P$48,'411'!$P$50,'411'!$P$52,'411'!$P$54:$P$56,'411'!$P$58:$P$60,'411'!$P$62,'411'!$P$64,'411'!$P$66,'411'!$P$68</definedName>
    <definedName name="OSRRefP22x_0" localSheetId="75">'412'!$P$20,'412'!$P$22,'412'!$P$24,'412'!$P$26</definedName>
    <definedName name="OSRRefP22x_0" localSheetId="76">'413'!$P$20,'413'!$P$22,'413'!$P$24</definedName>
    <definedName name="OSRRefP22x_0" localSheetId="77">'414'!$P$20,'414'!$P$22</definedName>
    <definedName name="OSRRefP22x_0" localSheetId="78">'415'!$P$27:$P$35,'415'!$P$37:$P$46,'415'!$P$48,'415'!$P$50,'415'!$P$52,'415'!$P$54:$P$55,'415'!$P$57,'415'!$P$59,'415'!$P$61,'415'!$P$63,'415'!$P$65:$P$66,'415'!$P$68:$P$71,'415'!$P$73,'415'!$P$75:$P$80,'415'!$P$82:$P$83,'415'!$P$85,'415'!$P$87</definedName>
    <definedName name="OSRRefP22x_0" localSheetId="79">'418'!$P$24:$P$32,'418'!$P$34:$P$43,'418'!$P$45,'418'!$P$47,'418'!$P$49:$P$50,'418'!$P$52,'418'!$P$54,'418'!$P$56,'418'!$P$58:$P$59,'418'!$P$61:$P$64,'418'!$P$66,'418'!$P$68:$P$75,'418'!$P$77:$P$78,'418'!$P$80,'418'!$P$82</definedName>
    <definedName name="OSRRefP22x_0" localSheetId="80">'423'!$P$20:$P$27,'423'!$P$29:$P$38,'423'!$P$40,'423'!$P$42,'423'!$P$44,'423'!$P$46</definedName>
    <definedName name="OSRRefP22x_0" localSheetId="81">'424'!$P$20,'424'!$P$22</definedName>
    <definedName name="OSRRefP22x_0" localSheetId="82">'425'!$P$22,'425'!$P$24,'425'!$P$26,'425'!$P$28,'425'!$P$30,'425'!$P$32</definedName>
    <definedName name="OSRRefP22x_0" localSheetId="84">'430'!$P$20:$P$28,'430'!$P$30:$P$39,'430'!$P$41,'430'!$P$43,'430'!$P$45,'430'!$P$47:$P$48,'430'!$P$50:$P$51,'430'!$P$53,'430'!$P$55</definedName>
    <definedName name="OSRRefP22x_0" localSheetId="85">'433'!$P$27:$P$36,'433'!$P$38:$P$47,'433'!$P$49,'433'!$P$51,'433'!$P$53,'433'!$P$55,'433'!$P$57,'433'!$P$59,'433'!$P$61,'433'!$P$63,'433'!$P$65,'433'!$P$67:$P$69,'433'!$P$71:$P$74,'433'!$P$76:$P$83,'433'!$P$85</definedName>
    <definedName name="OSRRefP22x_0" localSheetId="86">'444'!$P$27:$P$36,'444'!$P$38:$P$47,'444'!$P$49,'444'!$P$51,'444'!$P$53,'444'!$P$55,'444'!$P$57,'444'!$P$59,'444'!$P$61,'444'!$P$63,'444'!$P$65,'444'!$P$67:$P$68,'444'!$P$70:$P$73,'444'!$P$75:$P$81,'444'!$P$83,'444'!$P$85</definedName>
    <definedName name="OSRRefP22x_0" localSheetId="87">'450'!$P$27:$P$36,'450'!$P$38:$P$47,'450'!$P$49,'450'!$P$51,'450'!$P$53,'450'!$P$55,'450'!$P$57,'450'!$P$59,'450'!$P$61,'450'!$P$63,'450'!$P$65,'450'!$P$67:$P$69,'450'!$P$71:$P$74,'450'!$P$76:$P$82,'450'!$P$84,'450'!$P$86,'450'!$P$88</definedName>
    <definedName name="OSRRefP22x_0" localSheetId="71">'491'!$P$28:$P$36,'491'!$P$38:$P$47,'491'!$P$49,'491'!$P$51,'491'!$P$53,'491'!$P$55:$P$56,'491'!$P$58,'491'!$P$60,'491'!$P$62,'491'!$P$64,'491'!$P$66,'491'!$P$68,'491'!$P$70:$P$72,'491'!$P$74,'491'!$P$76:$P$80,'491'!$P$82,'491'!$P$84:$P$92,'491'!$P$94:$P$95,'491'!$P$97,'491'!$P$99</definedName>
    <definedName name="OSRRefP22x_0" localSheetId="83">'492'!$P$27:$P$36,'492'!$P$38:$P$47,'492'!$P$49,'492'!$P$51,'492'!$P$53,'492'!$P$55,'492'!$P$57,'492'!$P$59,'492'!$P$61,'492'!$P$63,'492'!$P$65,'492'!$P$67,'492'!$P$69:$P$71,'492'!$P$73:$P$76,'492'!$P$78:$P$85,'492'!$P$87:$P$88,'492'!$P$90,'492'!$P$92:$P$93</definedName>
    <definedName name="OSRRefP22x_0" localSheetId="89">'501'!$P$21:$P$30,'501'!$P$32:$P$41,'501'!$P$43,'501'!$P$45,'501'!$P$47,'501'!$P$49:$P$50,'501'!$P$52,'501'!$P$54,'501'!$P$56,'501'!$P$58:$P$60,'501'!$P$62,'501'!$P$64:$P$66,'501'!$P$68,'501'!$P$70</definedName>
    <definedName name="OSRRefP22x_0" localSheetId="39">'Div 2'!$P$20:$P$30,'Div 2'!$P$32:$P$41,'Div 2'!$P$43,'Div 2'!$P$45,'Div 2'!$P$47,'Div 2'!$P$49:$P$50,'Div 2'!$P$52,'Div 2'!$P$54,'Div 2'!$P$56,'Div 2'!$P$58,'Div 2'!$P$60,'Div 2'!$P$62,'Div 2'!$P$64:$P$67,'Div 2'!$P$69:$P$72,'Div 2'!$P$74:$P$75,'Div 2'!$P$77,'Div 2'!$P$79:$P$84,'Div 2'!$P$86:$P$87,'Div 2'!$P$89,'Div 2'!$P$91</definedName>
    <definedName name="OSRRefP22x_0" localSheetId="47">'Div 3'!$P$58:$P$67,'Div 3'!$P$69:$P$78,'Div 3'!$P$80,'Div 3'!$P$82,'Div 3'!$P$84,'Div 3'!$P$86:$P$87,'Div 3'!$P$89:$P$90,'Div 3'!$P$92,'Div 3'!$P$94,'Div 3'!$P$96,'Div 3'!$P$98:$P$99,'Div 3'!$P$101:$P$102,'Div 3'!$P$104,'Div 3'!$P$106,'Div 3'!$P$108,'Div 3'!$P$110,'Div 3'!$P$112,'Div 3'!$P$114:$P$117,'Div 3'!$P$119:$P$122,'Div 3'!$P$124:$P$127,'Div 3'!$P$129:$P$130,'Div 3'!$P$132:$P$138,'Div 3'!$P$140:$P$141,'Div 3'!$P$143,'Div 3'!$P$145:$P$147,'Div 3'!$P$149</definedName>
    <definedName name="OSRRefP22x_0" localSheetId="69">'Div 4'!$P$29:$P$38,'Div 4'!$P$40:$P$49,'Div 4'!$P$51,'Div 4'!$P$53,'Div 4'!$P$55,'Div 4'!$P$57:$P$58,'Div 4'!$P$60,'Div 4'!$P$62,'Div 4'!$P$64,'Div 4'!$P$66,'Div 4'!$P$68,'Div 4'!$P$70,'Div 4'!$P$72,'Div 4'!$P$74,'Div 4'!$P$76:$P$78,'Div 4'!$P$80,'Div 4'!$P$82:$P$86,'Div 4'!$P$88,'Div 4'!$P$90:$P$99,'Div 4'!$P$101:$P$102,'Div 4'!$P$104,'Div 4'!$P$106:$P$107,'Div 4'!$P$109</definedName>
    <definedName name="OSRRefP22x_0" localSheetId="88">'Div 5'!$P$21:$P$30,'Div 5'!$P$32:$P$41,'Div 5'!$P$43,'Div 5'!$P$45,'Div 5'!$P$47,'Div 5'!$P$49:$P$50,'Div 5'!$P$52,'Div 5'!$P$54,'Div 5'!$P$56,'Div 5'!$P$58:$P$60,'Div 5'!$P$62,'Div 5'!$P$64:$P$66,'Div 5'!$P$68,'Div 5'!$P$70</definedName>
    <definedName name="OSRRefP22x_0" localSheetId="61">'Div 6'!$P$35:$P$44,'Div 6'!$P$46:$P$55,'Div 6'!$P$57,'Div 6'!$P$59,'Div 6'!$P$61,'Div 6'!$P$63,'Div 6'!$P$65,'Div 6'!$P$67,'Div 6'!$P$69:$P$70,'Div 6'!$P$72</definedName>
    <definedName name="OSRRefP22x_0" localSheetId="2">Summary!$P$66:$P$75,Summary!$P$77:$P$86,Summary!$P$88,Summary!$P$90,Summary!$P$92,Summary!$P$94:$P$95,Summary!$P$97:$P$98,Summary!$P$100,Summary!$P$102,Summary!$P$104,Summary!$P$106:$P$107,Summary!$P$109:$P$110,Summary!$P$112,Summary!$P$114,Summary!$P$116,Summary!$P$118,Summary!$P$120,Summary!$P$122,Summary!$P$124:$P$127,Summary!$P$129:$P$132,Summary!$P$134:$P$138,Summary!$P$140:$P$141,Summary!$P$143:$P$152,Summary!$P$154:$P$155,Summary!$P$157,Summary!$P$159:$P$161,Summary!$P$163</definedName>
    <definedName name="OSRRefP25x_0" localSheetId="48">'300'!$P$145:$P$149</definedName>
    <definedName name="OSRRefP25x_0" localSheetId="49">'300 &amp; 317'!$P$151:$P$157</definedName>
    <definedName name="OSRRefP25x_0" localSheetId="50">'301'!$P$97:$P$98</definedName>
    <definedName name="OSRRefP25x_0" localSheetId="53">'308'!$P$82:$P$85</definedName>
    <definedName name="OSRRefP25x_0" localSheetId="70">'310 &amp; 491'!$P$105:$P$107</definedName>
    <definedName name="OSRRefP25x_0" localSheetId="54">'311'!$P$82:$P$85</definedName>
    <definedName name="OSRRefP25x_0" localSheetId="57">'315'!$P$103:$P$105</definedName>
    <definedName name="OSRRefP25x_0" localSheetId="60">'316'!$P$72</definedName>
    <definedName name="OSRRefP25x_0" localSheetId="62">'317'!$P$75:$P$77</definedName>
    <definedName name="OSRRefP25x_0" localSheetId="56">'331'!$P$115:$P$117</definedName>
    <definedName name="OSRRefP25x_0" localSheetId="59">'332'!$P$72</definedName>
    <definedName name="OSRRefP25x_0" localSheetId="74">'411'!$P$71</definedName>
    <definedName name="OSRRefP25x_0" localSheetId="78">'415'!$P$90</definedName>
    <definedName name="OSRRefP25x_0" localSheetId="79">'418'!$P$85</definedName>
    <definedName name="OSRRefP25x_0" localSheetId="80">'423'!$P$49</definedName>
    <definedName name="OSRRefP25x_0" localSheetId="71">'491'!$P$102:$P$104</definedName>
    <definedName name="OSRRefP25x_0" localSheetId="89">'501'!$P$73</definedName>
    <definedName name="OSRRefP25x_0" localSheetId="47">'Div 3'!$P$152:$P$156</definedName>
    <definedName name="OSRRefP25x_0" localSheetId="69">'Div 4'!$P$112:$P$114</definedName>
    <definedName name="OSRRefP25x_0" localSheetId="88">'Div 5'!$P$73</definedName>
    <definedName name="OSRRefP25x_0" localSheetId="61">'Div 6'!$P$75:$P$77</definedName>
    <definedName name="OSRRefP25x_0" localSheetId="2">Summary!$P$166:$P$173</definedName>
    <definedName name="OSRRefT13x_0" localSheetId="48">'300'!$T$13:$T$19</definedName>
    <definedName name="OSRRefT13x_0" localSheetId="49">'300 &amp; 317'!$T$13:$T$19</definedName>
    <definedName name="OSRRefT13x_0" localSheetId="52">'307'!$T$13:$T$16</definedName>
    <definedName name="OSRRefT13x_0" localSheetId="53">'308'!$T$13:$T$17</definedName>
    <definedName name="OSRRefT13x_0" localSheetId="63">'310'!$T$13:$T$16</definedName>
    <definedName name="OSRRefT13x_0" localSheetId="70">'310 &amp; 491'!$T$13:$T$18</definedName>
    <definedName name="OSRRefT13x_0" localSheetId="54">'311'!$T$13:$T$17</definedName>
    <definedName name="OSRRefT13x_0" localSheetId="57">'315'!$T$13:$T$17</definedName>
    <definedName name="OSRRefT13x_0" localSheetId="60">'316'!$T$13:$T$17</definedName>
    <definedName name="OSRRefT13x_0" localSheetId="62">'317'!$T$13:$T$17</definedName>
    <definedName name="OSRRefT13x_0" localSheetId="65">'321'!$T$13:$T$14</definedName>
    <definedName name="OSRRefT13x_0" localSheetId="55">'324'!$T$13:$T$14</definedName>
    <definedName name="OSRRefT13x_0" localSheetId="67">'325'!$T$13:$T$14</definedName>
    <definedName name="OSRRefT13x_0" localSheetId="58">'326'!$T$13:$T$16</definedName>
    <definedName name="OSRRefT13x_0" localSheetId="68">'327'!$T$13:$T$15</definedName>
    <definedName name="OSRRefT13x_0" localSheetId="51">'330'!$T$13:$T$16</definedName>
    <definedName name="OSRRefT13x_0" localSheetId="56">'331'!$T$13:$T$17</definedName>
    <definedName name="OSRRefT13x_0" localSheetId="59">'332'!$T$13:$T$17</definedName>
    <definedName name="OSRRefT13x_0" localSheetId="72">'405'!$T$13:$T$16</definedName>
    <definedName name="OSRRefT13x_0" localSheetId="78">'415'!$T$13:$T$16</definedName>
    <definedName name="OSRRefT13x_0" localSheetId="79">'418'!$T$13:$T$14</definedName>
    <definedName name="OSRRefT13x_0" localSheetId="82">'425'!$T$13</definedName>
    <definedName name="OSRRefT13x_0" localSheetId="85">'433'!$T$13:$T$16</definedName>
    <definedName name="OSRRefT13x_0" localSheetId="86">'444'!$T$13:$T$16</definedName>
    <definedName name="OSRRefT13x_0" localSheetId="87">'450'!$T$13:$T$16</definedName>
    <definedName name="OSRRefT13x_0" localSheetId="71">'491'!$T$13:$T$17</definedName>
    <definedName name="OSRRefT13x_0" localSheetId="83">'492'!$T$13:$T$16</definedName>
    <definedName name="OSRRefT13x_0" localSheetId="89">'501'!$T$13</definedName>
    <definedName name="OSRRefT13x_0" localSheetId="47">'Div 3'!$T$13:$T$21</definedName>
    <definedName name="OSRRefT13x_0" localSheetId="69">'Div 4'!$T$13:$T$18</definedName>
    <definedName name="OSRRefT13x_0" localSheetId="88">'Div 5'!$T$13</definedName>
    <definedName name="OSRRefT13x_0" localSheetId="61">'Div 6'!$T$13:$T$17</definedName>
    <definedName name="OSRRefT13x_0" localSheetId="2">Summary!$T$13:$T$23</definedName>
    <definedName name="OSRRefT16x_0" localSheetId="48">'300'!$T$22:$T$48</definedName>
    <definedName name="OSRRefT16x_0" localSheetId="49">'300 &amp; 317'!$T$22:$T$54</definedName>
    <definedName name="OSRRefT16x_0" localSheetId="50">'301'!$T$15</definedName>
    <definedName name="OSRRefT16x_0" localSheetId="52">'307'!$T$19:$T$28</definedName>
    <definedName name="OSRRefT16x_0" localSheetId="53">'308'!$T$20:$T$29</definedName>
    <definedName name="OSRRefT16x_0" localSheetId="63">'310'!$T$19:$T$21</definedName>
    <definedName name="OSRRefT16x_0" localSheetId="70">'310 &amp; 491'!$T$21:$T$23</definedName>
    <definedName name="OSRRefT16x_0" localSheetId="54">'311'!$T$20:$T$29</definedName>
    <definedName name="OSRRefT16x_0" localSheetId="57">'315'!$T$20:$T$38</definedName>
    <definedName name="OSRRefT16x_0" localSheetId="60">'316'!$T$20</definedName>
    <definedName name="OSRRefT16x_0" localSheetId="62">'317'!$T$20:$T$29</definedName>
    <definedName name="OSRRefT16x_0" localSheetId="65">'321'!$T$17</definedName>
    <definedName name="OSRRefT16x_0" localSheetId="55">'324'!$T$17</definedName>
    <definedName name="OSRRefT16x_0" localSheetId="67">'325'!$T$17:$T$19</definedName>
    <definedName name="OSRRefT16x_0" localSheetId="58">'326'!$T$19:$T$22</definedName>
    <definedName name="OSRRefT16x_0" localSheetId="68">'327'!$T$18:$T$20</definedName>
    <definedName name="OSRRefT16x_0" localSheetId="51">'330'!$T$19:$T$28</definedName>
    <definedName name="OSRRefT16x_0" localSheetId="56">'331'!$T$20:$T$38</definedName>
    <definedName name="OSRRefT16x_0" localSheetId="59">'332'!$T$20</definedName>
    <definedName name="OSRRefT16x_0" localSheetId="72">'405'!$T$19:$T$21</definedName>
    <definedName name="OSRRefT16x_0" localSheetId="78">'415'!$T$19:$T$21</definedName>
    <definedName name="OSRRefT16x_0" localSheetId="79">'418'!$T$17:$T$18</definedName>
    <definedName name="OSRRefT16x_0" localSheetId="82">'425'!$T$16</definedName>
    <definedName name="OSRRefT16x_0" localSheetId="85">'433'!$T$19:$T$21</definedName>
    <definedName name="OSRRefT16x_0" localSheetId="86">'444'!$T$19:$T$21</definedName>
    <definedName name="OSRRefT16x_0" localSheetId="87">'450'!$T$19:$T$21</definedName>
    <definedName name="OSRRefT16x_0" localSheetId="71">'491'!$T$20:$T$22</definedName>
    <definedName name="OSRRefT16x_0" localSheetId="83">'492'!$T$19:$T$21</definedName>
    <definedName name="OSRRefT16x_0" localSheetId="47">'Div 3'!$T$24:$T$52</definedName>
    <definedName name="OSRRefT16x_0" localSheetId="69">'Div 4'!$T$21:$T$23</definedName>
    <definedName name="OSRRefT16x_0" localSheetId="61">'Div 6'!$T$20:$T$29</definedName>
    <definedName name="OSRRefT16x_0" localSheetId="2">Summary!$T$26:$T$60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'204'!$T$20:$T$28</definedName>
    <definedName name="OSRRefT22_0x_0" localSheetId="45">'205'!$T$20:$T$28</definedName>
    <definedName name="OSRRefT22_0x_0" localSheetId="46">'206'!$T$20:$T$28</definedName>
    <definedName name="OSRRefT22_0x_0" localSheetId="48">'300'!$T$54:$T$63</definedName>
    <definedName name="OSRRefT22_0x_0" localSheetId="49">'300 &amp; 317'!$T$60:$T$69</definedName>
    <definedName name="OSRRefT22_0x_0" localSheetId="50">'301'!$T$21:$T$30</definedName>
    <definedName name="OSRRefT22_0x_0" localSheetId="52">'307'!$T$34:$T$41</definedName>
    <definedName name="OSRRefT22_0x_0" localSheetId="53">'308'!$T$35:$T$44</definedName>
    <definedName name="OSRRefT22_0x_0" localSheetId="64">'309'!$T$20</definedName>
    <definedName name="OSRRefT22_0x_0" localSheetId="63">'310'!$T$27:$T$35</definedName>
    <definedName name="OSRRefT22_0x_0" localSheetId="70">'310 &amp; 491'!$T$29:$T$37</definedName>
    <definedName name="OSRRefT22_0x_0" localSheetId="54">'311'!$T$35:$T$44</definedName>
    <definedName name="OSRRefT22_0x_0" localSheetId="57">'315'!$T$44:$T$52</definedName>
    <definedName name="OSRRefT22_0x_0" localSheetId="60">'316'!$T$26:$T$34</definedName>
    <definedName name="OSRRefT22_0x_0" localSheetId="62">'317'!$T$35:$T$44</definedName>
    <definedName name="OSRRefT22_0x_0" localSheetId="65">'321'!$T$23:$T$31</definedName>
    <definedName name="OSRRefT22_0x_0" localSheetId="66">'322'!$T$20</definedName>
    <definedName name="OSRRefT22_0x_0" localSheetId="67">'325'!$T$25:$T$33</definedName>
    <definedName name="OSRRefT22_0x_0" localSheetId="58">'326'!$T$28:$T$36</definedName>
    <definedName name="OSRRefT22_0x_0" localSheetId="68">'327'!$T$26</definedName>
    <definedName name="OSRRefT22_0x_0" localSheetId="51">'330'!$T$34:$T$41</definedName>
    <definedName name="OSRRefT22_0x_0" localSheetId="56">'331'!$T$44:$T$52</definedName>
    <definedName name="OSRRefT22_0x_0" localSheetId="59">'332'!$T$26:$T$34</definedName>
    <definedName name="OSRRefT22_0x_0" localSheetId="72">'405'!$T$27:$T$35</definedName>
    <definedName name="OSRRefT22_0x_0" localSheetId="73">'406'!$T$20</definedName>
    <definedName name="OSRRefT22_0x_0" localSheetId="74">'411'!$T$20:$T$28</definedName>
    <definedName name="OSRRefT22_0x_0" localSheetId="75">'412'!$T$20</definedName>
    <definedName name="OSRRefT22_0x_0" localSheetId="76">'413'!$T$20</definedName>
    <definedName name="OSRRefT22_0x_0" localSheetId="77">'414'!$T$20</definedName>
    <definedName name="OSRRefT22_0x_0" localSheetId="78">'415'!$T$27:$T$35</definedName>
    <definedName name="OSRRefT22_0x_0" localSheetId="79">'418'!$T$24:$T$32</definedName>
    <definedName name="OSRRefT22_0x_0" localSheetId="80">'423'!$T$20:$T$27</definedName>
    <definedName name="OSRRefT22_0x_0" localSheetId="81">'424'!$T$20</definedName>
    <definedName name="OSRRefT22_0x_0" localSheetId="82">'425'!$T$22</definedName>
    <definedName name="OSRRefT22_0x_0" localSheetId="84">'430'!$T$20:$T$28</definedName>
    <definedName name="OSRRefT22_0x_0" localSheetId="85">'433'!$T$27:$T$36</definedName>
    <definedName name="OSRRefT22_0x_0" localSheetId="86">'444'!$T$27:$T$36</definedName>
    <definedName name="OSRRefT22_0x_0" localSheetId="87">'450'!$T$27:$T$36</definedName>
    <definedName name="OSRRefT22_0x_0" localSheetId="71">'491'!$T$28:$T$36</definedName>
    <definedName name="OSRRefT22_0x_0" localSheetId="83">'492'!$T$27:$T$36</definedName>
    <definedName name="OSRRefT22_0x_0" localSheetId="89">'501'!$T$21:$T$30</definedName>
    <definedName name="OSRRefT22_0x_0" localSheetId="39">'Div 2'!$T$20:$T$30</definedName>
    <definedName name="OSRRefT22_0x_0" localSheetId="47">'Div 3'!$T$58:$T$67</definedName>
    <definedName name="OSRRefT22_0x_0" localSheetId="69">'Div 4'!$T$29:$T$38</definedName>
    <definedName name="OSRRefT22_0x_0" localSheetId="88">'Div 5'!$T$21:$T$30</definedName>
    <definedName name="OSRRefT22_0x_0" localSheetId="61">'Div 6'!$T$35:$T$44</definedName>
    <definedName name="OSRRefT22_0x_0" localSheetId="2">Summary!$T$66:$T$75</definedName>
    <definedName name="OSRRefT22_10x_0" localSheetId="41">'201'!$T$59</definedName>
    <definedName name="OSRRefT22_10x_0" localSheetId="42">'202'!$T$59</definedName>
    <definedName name="OSRRefT22_10x_0" localSheetId="43">'203'!$T$61</definedName>
    <definedName name="OSRRefT22_10x_0" localSheetId="48">'300'!$T$94:$T$95</definedName>
    <definedName name="OSRRefT22_10x_0" localSheetId="49">'300 &amp; 317'!$T$100:$T$101</definedName>
    <definedName name="OSRRefT22_10x_0" localSheetId="50">'301'!$T$60</definedName>
    <definedName name="OSRRefT22_10x_0" localSheetId="52">'307'!$T$72:$T$73</definedName>
    <definedName name="OSRRefT22_10x_0" localSheetId="53">'308'!$T$75:$T$76</definedName>
    <definedName name="OSRRefT22_10x_0" localSheetId="63">'310'!$T$65:$T$67</definedName>
    <definedName name="OSRRefT22_10x_0" localSheetId="70">'310 &amp; 491'!$T$67</definedName>
    <definedName name="OSRRefT22_10x_0" localSheetId="54">'311'!$T$75:$T$76</definedName>
    <definedName name="OSRRefT22_10x_0" localSheetId="57">'315'!$T$82</definedName>
    <definedName name="OSRRefT22_10x_0" localSheetId="60">'316'!$T$69</definedName>
    <definedName name="OSRRefT22_10x_0" localSheetId="65">'321'!$T$65</definedName>
    <definedName name="OSRRefT22_10x_0" localSheetId="67">'325'!$T$63:$T$65</definedName>
    <definedName name="OSRRefT22_10x_0" localSheetId="58">'326'!$T$65</definedName>
    <definedName name="OSRRefT22_10x_0" localSheetId="51">'330'!$T$72:$T$73</definedName>
    <definedName name="OSRRefT22_10x_0" localSheetId="56">'331'!$T$83</definedName>
    <definedName name="OSRRefT22_10x_0" localSheetId="59">'332'!$T$69</definedName>
    <definedName name="OSRRefT22_10x_0" localSheetId="72">'405'!$T$66:$T$69</definedName>
    <definedName name="OSRRefT22_10x_0" localSheetId="74">'411'!$T$62</definedName>
    <definedName name="OSRRefT22_10x_0" localSheetId="78">'415'!$T$65:$T$66</definedName>
    <definedName name="OSRRefT22_10x_0" localSheetId="79">'418'!$T$66</definedName>
    <definedName name="OSRRefT22_10x_0" localSheetId="85">'433'!$T$65</definedName>
    <definedName name="OSRRefT22_10x_0" localSheetId="86">'444'!$T$65</definedName>
    <definedName name="OSRRefT22_10x_0" localSheetId="87">'450'!$T$65</definedName>
    <definedName name="OSRRefT22_10x_0" localSheetId="71">'491'!$T$66</definedName>
    <definedName name="OSRRefT22_10x_0" localSheetId="83">'492'!$T$65</definedName>
    <definedName name="OSRRefT22_10x_0" localSheetId="89">'501'!$T$62</definedName>
    <definedName name="OSRRefT22_10x_0" localSheetId="39">'Div 2'!$T$60</definedName>
    <definedName name="OSRRefT22_10x_0" localSheetId="47">'Div 3'!$T$98:$T$99</definedName>
    <definedName name="OSRRefT22_10x_0" localSheetId="69">'Div 4'!$T$68</definedName>
    <definedName name="OSRRefT22_10x_0" localSheetId="88">'Div 5'!$T$62</definedName>
    <definedName name="OSRRefT22_10x_0" localSheetId="2">Summary!$T$106:$T$107</definedName>
    <definedName name="OSRRefT22_11x_0" localSheetId="41">'201'!$T$61:$T$62</definedName>
    <definedName name="OSRRefT22_11x_0" localSheetId="42">'202'!$T$61</definedName>
    <definedName name="OSRRefT22_11x_0" localSheetId="43">'203'!$T$63:$T$66</definedName>
    <definedName name="OSRRefT22_11x_0" localSheetId="48">'300'!$T$97:$T$98</definedName>
    <definedName name="OSRRefT22_11x_0" localSheetId="49">'300 &amp; 317'!$T$103:$T$104</definedName>
    <definedName name="OSRRefT22_11x_0" localSheetId="50">'301'!$T$62</definedName>
    <definedName name="OSRRefT22_11x_0" localSheetId="52">'307'!$T$75:$T$78</definedName>
    <definedName name="OSRRefT22_11x_0" localSheetId="53">'308'!$T$78:$T$79</definedName>
    <definedName name="OSRRefT22_11x_0" localSheetId="63">'310'!$T$69</definedName>
    <definedName name="OSRRefT22_11x_0" localSheetId="70">'310 &amp; 491'!$T$69</definedName>
    <definedName name="OSRRefT22_11x_0" localSheetId="54">'311'!$T$78:$T$79</definedName>
    <definedName name="OSRRefT22_11x_0" localSheetId="57">'315'!$T$84:$T$85</definedName>
    <definedName name="OSRRefT22_11x_0" localSheetId="65">'321'!$T$67</definedName>
    <definedName name="OSRRefT22_11x_0" localSheetId="67">'325'!$T$67:$T$69</definedName>
    <definedName name="OSRRefT22_11x_0" localSheetId="58">'326'!$T$67:$T$68</definedName>
    <definedName name="OSRRefT22_11x_0" localSheetId="51">'330'!$T$75:$T$78</definedName>
    <definedName name="OSRRefT22_11x_0" localSheetId="56">'331'!$T$85</definedName>
    <definedName name="OSRRefT22_11x_0" localSheetId="72">'405'!$T$71</definedName>
    <definedName name="OSRRefT22_11x_0" localSheetId="74">'411'!$T$64</definedName>
    <definedName name="OSRRefT22_11x_0" localSheetId="78">'415'!$T$68:$T$71</definedName>
    <definedName name="OSRRefT22_11x_0" localSheetId="79">'418'!$T$68:$T$75</definedName>
    <definedName name="OSRRefT22_11x_0" localSheetId="85">'433'!$T$67:$T$69</definedName>
    <definedName name="OSRRefT22_11x_0" localSheetId="86">'444'!$T$67:$T$68</definedName>
    <definedName name="OSRRefT22_11x_0" localSheetId="87">'450'!$T$67:$T$69</definedName>
    <definedName name="OSRRefT22_11x_0" localSheetId="71">'491'!$T$68</definedName>
    <definedName name="OSRRefT22_11x_0" localSheetId="83">'492'!$T$67</definedName>
    <definedName name="OSRRefT22_11x_0" localSheetId="89">'501'!$T$64:$T$66</definedName>
    <definedName name="OSRRefT22_11x_0" localSheetId="39">'Div 2'!$T$62</definedName>
    <definedName name="OSRRefT22_11x_0" localSheetId="47">'Div 3'!$T$101:$T$102</definedName>
    <definedName name="OSRRefT22_11x_0" localSheetId="69">'Div 4'!$T$70</definedName>
    <definedName name="OSRRefT22_11x_0" localSheetId="88">'Div 5'!$T$64:$T$66</definedName>
    <definedName name="OSRRefT22_11x_0" localSheetId="2">Summary!$T$109:$T$110</definedName>
    <definedName name="OSRRefT22_12x_0" localSheetId="41">'201'!$T$64</definedName>
    <definedName name="OSRRefT22_12x_0" localSheetId="43">'203'!$T$68</definedName>
    <definedName name="OSRRefT22_12x_0" localSheetId="48">'300'!$T$100</definedName>
    <definedName name="OSRRefT22_12x_0" localSheetId="49">'300 &amp; 317'!$T$106</definedName>
    <definedName name="OSRRefT22_12x_0" localSheetId="50">'301'!$T$64</definedName>
    <definedName name="OSRRefT22_12x_0" localSheetId="52">'307'!$T$80</definedName>
    <definedName name="OSRRefT22_12x_0" localSheetId="63">'310'!$T$71:$T$73</definedName>
    <definedName name="OSRRefT22_12x_0" localSheetId="70">'310 &amp; 491'!$T$71:$T$73</definedName>
    <definedName name="OSRRefT22_12x_0" localSheetId="57">'315'!$T$87:$T$89</definedName>
    <definedName name="OSRRefT22_12x_0" localSheetId="67">'325'!$T$71:$T$75</definedName>
    <definedName name="OSRRefT22_12x_0" localSheetId="58">'326'!$T$70:$T$71</definedName>
    <definedName name="OSRRefT22_12x_0" localSheetId="51">'330'!$T$80</definedName>
    <definedName name="OSRRefT22_12x_0" localSheetId="56">'331'!$T$87</definedName>
    <definedName name="OSRRefT22_12x_0" localSheetId="72">'405'!$T$73:$T$80</definedName>
    <definedName name="OSRRefT22_12x_0" localSheetId="74">'411'!$T$66</definedName>
    <definedName name="OSRRefT22_12x_0" localSheetId="78">'415'!$T$73</definedName>
    <definedName name="OSRRefT22_12x_0" localSheetId="79">'418'!$T$77:$T$78</definedName>
    <definedName name="OSRRefT22_12x_0" localSheetId="85">'433'!$T$71:$T$74</definedName>
    <definedName name="OSRRefT22_12x_0" localSheetId="86">'444'!$T$70:$T$73</definedName>
    <definedName name="OSRRefT22_12x_0" localSheetId="87">'450'!$T$71:$T$74</definedName>
    <definedName name="OSRRefT22_12x_0" localSheetId="71">'491'!$T$70:$T$72</definedName>
    <definedName name="OSRRefT22_12x_0" localSheetId="83">'492'!$T$69:$T$71</definedName>
    <definedName name="OSRRefT22_12x_0" localSheetId="89">'501'!$T$68</definedName>
    <definedName name="OSRRefT22_12x_0" localSheetId="39">'Div 2'!$T$64:$T$67</definedName>
    <definedName name="OSRRefT22_12x_0" localSheetId="47">'Div 3'!$T$104</definedName>
    <definedName name="OSRRefT22_12x_0" localSheetId="69">'Div 4'!$T$72</definedName>
    <definedName name="OSRRefT22_12x_0" localSheetId="88">'Div 5'!$T$68</definedName>
    <definedName name="OSRRefT22_12x_0" localSheetId="2">Summary!$T$112</definedName>
    <definedName name="OSRRefT22_13x_0" localSheetId="41">'201'!$T$66</definedName>
    <definedName name="OSRRefT22_13x_0" localSheetId="43">'203'!$T$70</definedName>
    <definedName name="OSRRefT22_13x_0" localSheetId="48">'300'!$T$102</definedName>
    <definedName name="OSRRefT22_13x_0" localSheetId="49">'300 &amp; 317'!$T$108</definedName>
    <definedName name="OSRRefT22_13x_0" localSheetId="50">'301'!$T$66</definedName>
    <definedName name="OSRRefT22_13x_0" localSheetId="63">'310'!$T$75:$T$79</definedName>
    <definedName name="OSRRefT22_13x_0" localSheetId="70">'310 &amp; 491'!$T$75:$T$76</definedName>
    <definedName name="OSRRefT22_13x_0" localSheetId="57">'315'!$T$91:$T$92</definedName>
    <definedName name="OSRRefT22_13x_0" localSheetId="67">'325'!$T$77:$T$78</definedName>
    <definedName name="OSRRefT22_13x_0" localSheetId="58">'326'!$T$73:$T$74</definedName>
    <definedName name="OSRRefT22_13x_0" localSheetId="56">'331'!$T$89:$T$90</definedName>
    <definedName name="OSRRefT22_13x_0" localSheetId="72">'405'!$T$82</definedName>
    <definedName name="OSRRefT22_13x_0" localSheetId="74">'411'!$T$68</definedName>
    <definedName name="OSRRefT22_13x_0" localSheetId="78">'415'!$T$75:$T$80</definedName>
    <definedName name="OSRRefT22_13x_0" localSheetId="79">'418'!$T$80</definedName>
    <definedName name="OSRRefT22_13x_0" localSheetId="85">'433'!$T$76:$T$83</definedName>
    <definedName name="OSRRefT22_13x_0" localSheetId="86">'444'!$T$75:$T$81</definedName>
    <definedName name="OSRRefT22_13x_0" localSheetId="87">'450'!$T$76:$T$82</definedName>
    <definedName name="OSRRefT22_13x_0" localSheetId="71">'491'!$T$74</definedName>
    <definedName name="OSRRefT22_13x_0" localSheetId="83">'492'!$T$73:$T$76</definedName>
    <definedName name="OSRRefT22_13x_0" localSheetId="89">'501'!$T$70</definedName>
    <definedName name="OSRRefT22_13x_0" localSheetId="39">'Div 2'!$T$69:$T$72</definedName>
    <definedName name="OSRRefT22_13x_0" localSheetId="47">'Div 3'!$T$106</definedName>
    <definedName name="OSRRefT22_13x_0" localSheetId="69">'Div 4'!$T$74</definedName>
    <definedName name="OSRRefT22_13x_0" localSheetId="88">'Div 5'!$T$70</definedName>
    <definedName name="OSRRefT22_13x_0" localSheetId="2">Summary!$T$114</definedName>
    <definedName name="OSRRefT22_14x_0" localSheetId="48">'300'!$T$104</definedName>
    <definedName name="OSRRefT22_14x_0" localSheetId="49">'300 &amp; 317'!$T$110</definedName>
    <definedName name="OSRRefT22_14x_0" localSheetId="50">'301'!$T$68</definedName>
    <definedName name="OSRRefT22_14x_0" localSheetId="63">'310'!$T$81:$T$82</definedName>
    <definedName name="OSRRefT22_14x_0" localSheetId="70">'310 &amp; 491'!$T$78:$T$82</definedName>
    <definedName name="OSRRefT22_14x_0" localSheetId="57">'315'!$T$94:$T$96</definedName>
    <definedName name="OSRRefT22_14x_0" localSheetId="67">'325'!$T$80</definedName>
    <definedName name="OSRRefT22_14x_0" localSheetId="58">'326'!$T$76:$T$78</definedName>
    <definedName name="OSRRefT22_14x_0" localSheetId="56">'331'!$T$92:$T$94</definedName>
    <definedName name="OSRRefT22_14x_0" localSheetId="72">'405'!$T$84</definedName>
    <definedName name="OSRRefT22_14x_0" localSheetId="78">'415'!$T$82:$T$83</definedName>
    <definedName name="OSRRefT22_14x_0" localSheetId="79">'418'!$T$82</definedName>
    <definedName name="OSRRefT22_14x_0" localSheetId="85">'433'!$T$85</definedName>
    <definedName name="OSRRefT22_14x_0" localSheetId="86">'444'!$T$83</definedName>
    <definedName name="OSRRefT22_14x_0" localSheetId="87">'450'!$T$84</definedName>
    <definedName name="OSRRefT22_14x_0" localSheetId="71">'491'!$T$76:$T$80</definedName>
    <definedName name="OSRRefT22_14x_0" localSheetId="83">'492'!$T$78:$T$85</definedName>
    <definedName name="OSRRefT22_14x_0" localSheetId="39">'Div 2'!$T$74:$T$75</definedName>
    <definedName name="OSRRefT22_14x_0" localSheetId="47">'Div 3'!$T$108</definedName>
    <definedName name="OSRRefT22_14x_0" localSheetId="69">'Div 4'!$T$76:$T$78</definedName>
    <definedName name="OSRRefT22_14x_0" localSheetId="2">Summary!$T$116</definedName>
    <definedName name="OSRRefT22_15x_0" localSheetId="48">'300'!$T$106</definedName>
    <definedName name="OSRRefT22_15x_0" localSheetId="49">'300 &amp; 317'!$T$112</definedName>
    <definedName name="OSRRefT22_15x_0" localSheetId="50">'301'!$T$70:$T$73</definedName>
    <definedName name="OSRRefT22_15x_0" localSheetId="63">'310'!$T$84</definedName>
    <definedName name="OSRRefT22_15x_0" localSheetId="70">'310 &amp; 491'!$T$84</definedName>
    <definedName name="OSRRefT22_15x_0" localSheetId="57">'315'!$T$98</definedName>
    <definedName name="OSRRefT22_15x_0" localSheetId="58">'326'!$T$80</definedName>
    <definedName name="OSRRefT22_15x_0" localSheetId="56">'331'!$T$96:$T$97</definedName>
    <definedName name="OSRRefT22_15x_0" localSheetId="72">'405'!$T$86</definedName>
    <definedName name="OSRRefT22_15x_0" localSheetId="78">'415'!$T$85</definedName>
    <definedName name="OSRRefT22_15x_0" localSheetId="86">'444'!$T$85</definedName>
    <definedName name="OSRRefT22_15x_0" localSheetId="87">'450'!$T$86</definedName>
    <definedName name="OSRRefT22_15x_0" localSheetId="71">'491'!$T$82</definedName>
    <definedName name="OSRRefT22_15x_0" localSheetId="83">'492'!$T$87:$T$88</definedName>
    <definedName name="OSRRefT22_15x_0" localSheetId="39">'Div 2'!$T$77</definedName>
    <definedName name="OSRRefT22_15x_0" localSheetId="47">'Div 3'!$T$110</definedName>
    <definedName name="OSRRefT22_15x_0" localSheetId="69">'Div 4'!$T$80</definedName>
    <definedName name="OSRRefT22_15x_0" localSheetId="2">Summary!$T$118</definedName>
    <definedName name="OSRRefT22_16x_0" localSheetId="48">'300'!$T$108:$T$111</definedName>
    <definedName name="OSRRefT22_16x_0" localSheetId="49">'300 &amp; 317'!$T$114:$T$117</definedName>
    <definedName name="OSRRefT22_16x_0" localSheetId="50">'301'!$T$75:$T$76</definedName>
    <definedName name="OSRRefT22_16x_0" localSheetId="63">'310'!$T$86</definedName>
    <definedName name="OSRRefT22_16x_0" localSheetId="70">'310 &amp; 491'!$T$86:$T$95</definedName>
    <definedName name="OSRRefT22_16x_0" localSheetId="57">'315'!$T$100</definedName>
    <definedName name="OSRRefT22_16x_0" localSheetId="58">'326'!$T$82:$T$83</definedName>
    <definedName name="OSRRefT22_16x_0" localSheetId="56">'331'!$T$99:$T$100</definedName>
    <definedName name="OSRRefT22_16x_0" localSheetId="78">'415'!$T$87</definedName>
    <definedName name="OSRRefT22_16x_0" localSheetId="87">'450'!$T$88</definedName>
    <definedName name="OSRRefT22_16x_0" localSheetId="71">'491'!$T$84:$T$92</definedName>
    <definedName name="OSRRefT22_16x_0" localSheetId="83">'492'!$T$90</definedName>
    <definedName name="OSRRefT22_16x_0" localSheetId="39">'Div 2'!$T$79:$T$84</definedName>
    <definedName name="OSRRefT22_16x_0" localSheetId="47">'Div 3'!$T$112</definedName>
    <definedName name="OSRRefT22_16x_0" localSheetId="69">'Div 4'!$T$82:$T$86</definedName>
    <definedName name="OSRRefT22_16x_0" localSheetId="2">Summary!$T$120</definedName>
    <definedName name="OSRRefT22_17x_0" localSheetId="48">'300'!$T$113:$T$116</definedName>
    <definedName name="OSRRefT22_17x_0" localSheetId="49">'300 &amp; 317'!$T$119:$T$122</definedName>
    <definedName name="OSRRefT22_17x_0" localSheetId="50">'301'!$T$78</definedName>
    <definedName name="OSRRefT22_17x_0" localSheetId="70">'310 &amp; 491'!$T$97:$T$98</definedName>
    <definedName name="OSRRefT22_17x_0" localSheetId="58">'326'!$T$85</definedName>
    <definedName name="OSRRefT22_17x_0" localSheetId="56">'331'!$T$102:$T$105</definedName>
    <definedName name="OSRRefT22_17x_0" localSheetId="71">'491'!$T$94:$T$95</definedName>
    <definedName name="OSRRefT22_17x_0" localSheetId="83">'492'!$T$92:$T$93</definedName>
    <definedName name="OSRRefT22_17x_0" localSheetId="39">'Div 2'!$T$86:$T$87</definedName>
    <definedName name="OSRRefT22_17x_0" localSheetId="47">'Div 3'!$T$114:$T$117</definedName>
    <definedName name="OSRRefT22_17x_0" localSheetId="69">'Div 4'!$T$88</definedName>
    <definedName name="OSRRefT22_17x_0" localSheetId="2">Summary!$T$122</definedName>
    <definedName name="OSRRefT22_18x_0" localSheetId="48">'300'!$T$118:$T$120</definedName>
    <definedName name="OSRRefT22_18x_0" localSheetId="49">'300 &amp; 317'!$T$124:$T$126</definedName>
    <definedName name="OSRRefT22_18x_0" localSheetId="50">'301'!$T$80:$T$85</definedName>
    <definedName name="OSRRefT22_18x_0" localSheetId="70">'310 &amp; 491'!$T$100</definedName>
    <definedName name="OSRRefT22_18x_0" localSheetId="56">'331'!$T$107</definedName>
    <definedName name="OSRRefT22_18x_0" localSheetId="71">'491'!$T$97</definedName>
    <definedName name="OSRRefT22_18x_0" localSheetId="39">'Div 2'!$T$89</definedName>
    <definedName name="OSRRefT22_18x_0" localSheetId="47">'Div 3'!$T$119:$T$122</definedName>
    <definedName name="OSRRefT22_18x_0" localSheetId="69">'Div 4'!$T$90:$T$99</definedName>
    <definedName name="OSRRefT22_18x_0" localSheetId="2">Summary!$T$124:$T$127</definedName>
    <definedName name="OSRRefT22_19x_0" localSheetId="48">'300'!$T$122:$T$123</definedName>
    <definedName name="OSRRefT22_19x_0" localSheetId="49">'300 &amp; 317'!$T$128:$T$129</definedName>
    <definedName name="OSRRefT22_19x_0" localSheetId="50">'301'!$T$87</definedName>
    <definedName name="OSRRefT22_19x_0" localSheetId="70">'310 &amp; 491'!$T$102</definedName>
    <definedName name="OSRRefT22_19x_0" localSheetId="56">'331'!$T$109:$T$110</definedName>
    <definedName name="OSRRefT22_19x_0" localSheetId="71">'491'!$T$99</definedName>
    <definedName name="OSRRefT22_19x_0" localSheetId="39">'Div 2'!$T$91</definedName>
    <definedName name="OSRRefT22_19x_0" localSheetId="47">'Div 3'!$T$124:$T$127</definedName>
    <definedName name="OSRRefT22_19x_0" localSheetId="69">'Div 4'!$T$101:$T$102</definedName>
    <definedName name="OSRRefT22_19x_0" localSheetId="2">Summary!$T$129:$T$132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'204'!$T$30:$T$39</definedName>
    <definedName name="OSRRefT22_1x_0" localSheetId="45">'205'!$T$30:$T$39</definedName>
    <definedName name="OSRRefT22_1x_0" localSheetId="46">'206'!$T$30:$T$39</definedName>
    <definedName name="OSRRefT22_1x_0" localSheetId="48">'300'!$T$65:$T$74</definedName>
    <definedName name="OSRRefT22_1x_0" localSheetId="49">'300 &amp; 317'!$T$71:$T$80</definedName>
    <definedName name="OSRRefT22_1x_0" localSheetId="50">'301'!$T$32:$T$41</definedName>
    <definedName name="OSRRefT22_1x_0" localSheetId="52">'307'!$T$43:$T$52</definedName>
    <definedName name="OSRRefT22_1x_0" localSheetId="53">'308'!$T$46:$T$55</definedName>
    <definedName name="OSRRefT22_1x_0" localSheetId="64">'309'!$T$22</definedName>
    <definedName name="OSRRefT22_1x_0" localSheetId="63">'310'!$T$37:$T$46</definedName>
    <definedName name="OSRRefT22_1x_0" localSheetId="70">'310 &amp; 491'!$T$39:$T$48</definedName>
    <definedName name="OSRRefT22_1x_0" localSheetId="54">'311'!$T$46:$T$55</definedName>
    <definedName name="OSRRefT22_1x_0" localSheetId="57">'315'!$T$54:$T$63</definedName>
    <definedName name="OSRRefT22_1x_0" localSheetId="60">'316'!$T$36:$T$45</definedName>
    <definedName name="OSRRefT22_1x_0" localSheetId="62">'317'!$T$46:$T$55</definedName>
    <definedName name="OSRRefT22_1x_0" localSheetId="65">'321'!$T$33:$T$42</definedName>
    <definedName name="OSRRefT22_1x_0" localSheetId="67">'325'!$T$35:$T$44</definedName>
    <definedName name="OSRRefT22_1x_0" localSheetId="58">'326'!$T$38:$T$47</definedName>
    <definedName name="OSRRefT22_1x_0" localSheetId="51">'330'!$T$43:$T$52</definedName>
    <definedName name="OSRRefT22_1x_0" localSheetId="56">'331'!$T$54:$T$63</definedName>
    <definedName name="OSRRefT22_1x_0" localSheetId="59">'332'!$T$36:$T$45</definedName>
    <definedName name="OSRRefT22_1x_0" localSheetId="72">'405'!$T$37:$T$46</definedName>
    <definedName name="OSRRefT22_1x_0" localSheetId="73">'406'!$T$22</definedName>
    <definedName name="OSRRefT22_1x_0" localSheetId="74">'411'!$T$30:$T$39</definedName>
    <definedName name="OSRRefT22_1x_0" localSheetId="75">'412'!$T$22</definedName>
    <definedName name="OSRRefT22_1x_0" localSheetId="76">'413'!$T$22</definedName>
    <definedName name="OSRRefT22_1x_0" localSheetId="77">'414'!$T$22</definedName>
    <definedName name="OSRRefT22_1x_0" localSheetId="78">'415'!$T$37:$T$46</definedName>
    <definedName name="OSRRefT22_1x_0" localSheetId="79">'418'!$T$34:$T$43</definedName>
    <definedName name="OSRRefT22_1x_0" localSheetId="80">'423'!$T$29:$T$38</definedName>
    <definedName name="OSRRefT22_1x_0" localSheetId="81">'424'!$T$22</definedName>
    <definedName name="OSRRefT22_1x_0" localSheetId="82">'425'!$T$24</definedName>
    <definedName name="OSRRefT22_1x_0" localSheetId="84">'430'!$T$30:$T$39</definedName>
    <definedName name="OSRRefT22_1x_0" localSheetId="85">'433'!$T$38:$T$47</definedName>
    <definedName name="OSRRefT22_1x_0" localSheetId="86">'444'!$T$38:$T$47</definedName>
    <definedName name="OSRRefT22_1x_0" localSheetId="87">'450'!$T$38:$T$47</definedName>
    <definedName name="OSRRefT22_1x_0" localSheetId="71">'491'!$T$38:$T$47</definedName>
    <definedName name="OSRRefT22_1x_0" localSheetId="83">'492'!$T$38:$T$47</definedName>
    <definedName name="OSRRefT22_1x_0" localSheetId="89">'501'!$T$32:$T$41</definedName>
    <definedName name="OSRRefT22_1x_0" localSheetId="39">'Div 2'!$T$32:$T$41</definedName>
    <definedName name="OSRRefT22_1x_0" localSheetId="47">'Div 3'!$T$69:$T$78</definedName>
    <definedName name="OSRRefT22_1x_0" localSheetId="69">'Div 4'!$T$40:$T$49</definedName>
    <definedName name="OSRRefT22_1x_0" localSheetId="88">'Div 5'!$T$32:$T$41</definedName>
    <definedName name="OSRRefT22_1x_0" localSheetId="61">'Div 6'!$T$46:$T$55</definedName>
    <definedName name="OSRRefT22_1x_0" localSheetId="2">Summary!$T$77:$T$86</definedName>
    <definedName name="OSRRefT22_20x_0" localSheetId="48">'300'!$T$125:$T$131</definedName>
    <definedName name="OSRRefT22_20x_0" localSheetId="49">'300 &amp; 317'!$T$131:$T$137</definedName>
    <definedName name="OSRRefT22_20x_0" localSheetId="50">'301'!$T$89</definedName>
    <definedName name="OSRRefT22_20x_0" localSheetId="56">'331'!$T$112</definedName>
    <definedName name="OSRRefT22_20x_0" localSheetId="47">'Div 3'!$T$129:$T$130</definedName>
    <definedName name="OSRRefT22_20x_0" localSheetId="69">'Div 4'!$T$104</definedName>
    <definedName name="OSRRefT22_20x_0" localSheetId="2">Summary!$T$134:$T$138</definedName>
    <definedName name="OSRRefT22_21x_0" localSheetId="48">'300'!$T$133:$T$134</definedName>
    <definedName name="OSRRefT22_21x_0" localSheetId="49">'300 &amp; 317'!$T$139:$T$140</definedName>
    <definedName name="OSRRefT22_21x_0" localSheetId="50">'301'!$T$91:$T$92</definedName>
    <definedName name="OSRRefT22_21x_0" localSheetId="47">'Div 3'!$T$132:$T$138</definedName>
    <definedName name="OSRRefT22_21x_0" localSheetId="69">'Div 4'!$T$106:$T$107</definedName>
    <definedName name="OSRRefT22_21x_0" localSheetId="2">Summary!$T$140:$T$141</definedName>
    <definedName name="OSRRefT22_22x_0" localSheetId="48">'300'!$T$136</definedName>
    <definedName name="OSRRefT22_22x_0" localSheetId="49">'300 &amp; 317'!$T$142</definedName>
    <definedName name="OSRRefT22_22x_0" localSheetId="50">'301'!$T$94</definedName>
    <definedName name="OSRRefT22_22x_0" localSheetId="47">'Div 3'!$T$140:$T$141</definedName>
    <definedName name="OSRRefT22_22x_0" localSheetId="69">'Div 4'!$T$109</definedName>
    <definedName name="OSRRefT22_22x_0" localSheetId="2">Summary!$T$143:$T$152</definedName>
    <definedName name="OSRRefT22_23x_0" localSheetId="48">'300'!$T$138:$T$140</definedName>
    <definedName name="OSRRefT22_23x_0" localSheetId="49">'300 &amp; 317'!$T$144:$T$146</definedName>
    <definedName name="OSRRefT22_23x_0" localSheetId="47">'Div 3'!$T$143</definedName>
    <definedName name="OSRRefT22_23x_0" localSheetId="2">Summary!$T$154:$T$155</definedName>
    <definedName name="OSRRefT22_24x_0" localSheetId="48">'300'!$T$142</definedName>
    <definedName name="OSRRefT22_24x_0" localSheetId="49">'300 &amp; 317'!$T$148</definedName>
    <definedName name="OSRRefT22_24x_0" localSheetId="47">'Div 3'!$T$145:$T$147</definedName>
    <definedName name="OSRRefT22_24x_0" localSheetId="2">Summary!$T$157</definedName>
    <definedName name="OSRRefT22_25x_0" localSheetId="47">'Div 3'!$T$149</definedName>
    <definedName name="OSRRefT22_25x_0" localSheetId="2">Summary!$T$159:$T$161</definedName>
    <definedName name="OSRRefT22_26x_0" localSheetId="2">Summary!$T$163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'204'!$T$41</definedName>
    <definedName name="OSRRefT22_2x_0" localSheetId="45">'205'!$T$41</definedName>
    <definedName name="OSRRefT22_2x_0" localSheetId="46">'206'!$T$41</definedName>
    <definedName name="OSRRefT22_2x_0" localSheetId="48">'300'!$T$76</definedName>
    <definedName name="OSRRefT22_2x_0" localSheetId="49">'300 &amp; 317'!$T$82</definedName>
    <definedName name="OSRRefT22_2x_0" localSheetId="50">'301'!$T$43</definedName>
    <definedName name="OSRRefT22_2x_0" localSheetId="52">'307'!$T$54</definedName>
    <definedName name="OSRRefT22_2x_0" localSheetId="53">'308'!$T$57</definedName>
    <definedName name="OSRRefT22_2x_0" localSheetId="64">'309'!$T$24:$T$25</definedName>
    <definedName name="OSRRefT22_2x_0" localSheetId="63">'310'!$T$48</definedName>
    <definedName name="OSRRefT22_2x_0" localSheetId="70">'310 &amp; 491'!$T$50</definedName>
    <definedName name="OSRRefT22_2x_0" localSheetId="54">'311'!$T$57</definedName>
    <definedName name="OSRRefT22_2x_0" localSheetId="57">'315'!$T$65</definedName>
    <definedName name="OSRRefT22_2x_0" localSheetId="60">'316'!$T$47</definedName>
    <definedName name="OSRRefT22_2x_0" localSheetId="62">'317'!$T$57</definedName>
    <definedName name="OSRRefT22_2x_0" localSheetId="65">'321'!$T$44</definedName>
    <definedName name="OSRRefT22_2x_0" localSheetId="67">'325'!$T$46</definedName>
    <definedName name="OSRRefT22_2x_0" localSheetId="58">'326'!$T$49</definedName>
    <definedName name="OSRRefT22_2x_0" localSheetId="51">'330'!$T$54</definedName>
    <definedName name="OSRRefT22_2x_0" localSheetId="56">'331'!$T$65</definedName>
    <definedName name="OSRRefT22_2x_0" localSheetId="59">'332'!$T$47</definedName>
    <definedName name="OSRRefT22_2x_0" localSheetId="72">'405'!$T$48</definedName>
    <definedName name="OSRRefT22_2x_0" localSheetId="74">'411'!$T$41</definedName>
    <definedName name="OSRRefT22_2x_0" localSheetId="75">'412'!$T$24</definedName>
    <definedName name="OSRRefT22_2x_0" localSheetId="76">'413'!$T$24</definedName>
    <definedName name="OSRRefT22_2x_0" localSheetId="78">'415'!$T$48</definedName>
    <definedName name="OSRRefT22_2x_0" localSheetId="79">'418'!$T$45</definedName>
    <definedName name="OSRRefT22_2x_0" localSheetId="80">'423'!$T$40</definedName>
    <definedName name="OSRRefT22_2x_0" localSheetId="82">'425'!$T$26</definedName>
    <definedName name="OSRRefT22_2x_0" localSheetId="84">'430'!$T$41</definedName>
    <definedName name="OSRRefT22_2x_0" localSheetId="85">'433'!$T$49</definedName>
    <definedName name="OSRRefT22_2x_0" localSheetId="86">'444'!$T$49</definedName>
    <definedName name="OSRRefT22_2x_0" localSheetId="87">'450'!$T$49</definedName>
    <definedName name="OSRRefT22_2x_0" localSheetId="71">'491'!$T$49</definedName>
    <definedName name="OSRRefT22_2x_0" localSheetId="83">'492'!$T$49</definedName>
    <definedName name="OSRRefT22_2x_0" localSheetId="89">'501'!$T$43</definedName>
    <definedName name="OSRRefT22_2x_0" localSheetId="39">'Div 2'!$T$43</definedName>
    <definedName name="OSRRefT22_2x_0" localSheetId="47">'Div 3'!$T$80</definedName>
    <definedName name="OSRRefT22_2x_0" localSheetId="69">'Div 4'!$T$51</definedName>
    <definedName name="OSRRefT22_2x_0" localSheetId="88">'Div 5'!$T$43</definedName>
    <definedName name="OSRRefT22_2x_0" localSheetId="61">'Div 6'!$T$57</definedName>
    <definedName name="OSRRefT22_2x_0" localSheetId="2">Summary!$T$88</definedName>
    <definedName name="OSRRefT22_3x_0" localSheetId="40">'200'!$T$26:$T$27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'204'!$T$43:$T$44</definedName>
    <definedName name="OSRRefT22_3x_0" localSheetId="45">'205'!$T$43</definedName>
    <definedName name="OSRRefT22_3x_0" localSheetId="46">'206'!$T$43</definedName>
    <definedName name="OSRRefT22_3x_0" localSheetId="48">'300'!$T$78</definedName>
    <definedName name="OSRRefT22_3x_0" localSheetId="49">'300 &amp; 317'!$T$84</definedName>
    <definedName name="OSRRefT22_3x_0" localSheetId="50">'301'!$T$45</definedName>
    <definedName name="OSRRefT22_3x_0" localSheetId="52">'307'!$T$56</definedName>
    <definedName name="OSRRefT22_3x_0" localSheetId="53">'308'!$T$59</definedName>
    <definedName name="OSRRefT22_3x_0" localSheetId="64">'309'!$T$27</definedName>
    <definedName name="OSRRefT22_3x_0" localSheetId="63">'310'!$T$50</definedName>
    <definedName name="OSRRefT22_3x_0" localSheetId="70">'310 &amp; 491'!$T$52</definedName>
    <definedName name="OSRRefT22_3x_0" localSheetId="54">'311'!$T$59</definedName>
    <definedName name="OSRRefT22_3x_0" localSheetId="57">'315'!$T$67</definedName>
    <definedName name="OSRRefT22_3x_0" localSheetId="60">'316'!$T$49</definedName>
    <definedName name="OSRRefT22_3x_0" localSheetId="62">'317'!$T$59</definedName>
    <definedName name="OSRRefT22_3x_0" localSheetId="65">'321'!$T$46</definedName>
    <definedName name="OSRRefT22_3x_0" localSheetId="67">'325'!$T$48</definedName>
    <definedName name="OSRRefT22_3x_0" localSheetId="58">'326'!$T$51</definedName>
    <definedName name="OSRRefT22_3x_0" localSheetId="51">'330'!$T$56</definedName>
    <definedName name="OSRRefT22_3x_0" localSheetId="56">'331'!$T$67</definedName>
    <definedName name="OSRRefT22_3x_0" localSheetId="59">'332'!$T$49</definedName>
    <definedName name="OSRRefT22_3x_0" localSheetId="72">'405'!$T$50</definedName>
    <definedName name="OSRRefT22_3x_0" localSheetId="74">'411'!$T$43:$T$44</definedName>
    <definedName name="OSRRefT22_3x_0" localSheetId="75">'412'!$T$26</definedName>
    <definedName name="OSRRefT22_3x_0" localSheetId="78">'415'!$T$50</definedName>
    <definedName name="OSRRefT22_3x_0" localSheetId="79">'418'!$T$47</definedName>
    <definedName name="OSRRefT22_3x_0" localSheetId="80">'423'!$T$42</definedName>
    <definedName name="OSRRefT22_3x_0" localSheetId="82">'425'!$T$28</definedName>
    <definedName name="OSRRefT22_3x_0" localSheetId="84">'430'!$T$43</definedName>
    <definedName name="OSRRefT22_3x_0" localSheetId="85">'433'!$T$51</definedName>
    <definedName name="OSRRefT22_3x_0" localSheetId="86">'444'!$T$51</definedName>
    <definedName name="OSRRefT22_3x_0" localSheetId="87">'450'!$T$51</definedName>
    <definedName name="OSRRefT22_3x_0" localSheetId="71">'491'!$T$51</definedName>
    <definedName name="OSRRefT22_3x_0" localSheetId="83">'492'!$T$51</definedName>
    <definedName name="OSRRefT22_3x_0" localSheetId="89">'501'!$T$45</definedName>
    <definedName name="OSRRefT22_3x_0" localSheetId="39">'Div 2'!$T$45</definedName>
    <definedName name="OSRRefT22_3x_0" localSheetId="47">'Div 3'!$T$82</definedName>
    <definedName name="OSRRefT22_3x_0" localSheetId="69">'Div 4'!$T$53</definedName>
    <definedName name="OSRRefT22_3x_0" localSheetId="88">'Div 5'!$T$45</definedName>
    <definedName name="OSRRefT22_3x_0" localSheetId="61">'Div 6'!$T$59</definedName>
    <definedName name="OSRRefT22_3x_0" localSheetId="2">Summary!$T$90</definedName>
    <definedName name="OSRRefT22_4x_0" localSheetId="41">'201'!$T$45</definedName>
    <definedName name="OSRRefT22_4x_0" localSheetId="42">'202'!$T$45</definedName>
    <definedName name="OSRRefT22_4x_0" localSheetId="43">'203'!$T$46</definedName>
    <definedName name="OSRRefT22_4x_0" localSheetId="44">'204'!$T$46</definedName>
    <definedName name="OSRRefT22_4x_0" localSheetId="45">'205'!$T$45:$T$46</definedName>
    <definedName name="OSRRefT22_4x_0" localSheetId="46">'206'!$T$45:$T$46</definedName>
    <definedName name="OSRRefT22_4x_0" localSheetId="48">'300'!$T$80</definedName>
    <definedName name="OSRRefT22_4x_0" localSheetId="49">'300 &amp; 317'!$T$86</definedName>
    <definedName name="OSRRefT22_4x_0" localSheetId="50">'301'!$T$47</definedName>
    <definedName name="OSRRefT22_4x_0" localSheetId="52">'307'!$T$58</definedName>
    <definedName name="OSRRefT22_4x_0" localSheetId="53">'308'!$T$61</definedName>
    <definedName name="OSRRefT22_4x_0" localSheetId="63">'310'!$T$52</definedName>
    <definedName name="OSRRefT22_4x_0" localSheetId="70">'310 &amp; 491'!$T$54</definedName>
    <definedName name="OSRRefT22_4x_0" localSheetId="54">'311'!$T$61</definedName>
    <definedName name="OSRRefT22_4x_0" localSheetId="57">'315'!$T$69</definedName>
    <definedName name="OSRRefT22_4x_0" localSheetId="60">'316'!$T$51</definedName>
    <definedName name="OSRRefT22_4x_0" localSheetId="62">'317'!$T$61</definedName>
    <definedName name="OSRRefT22_4x_0" localSheetId="65">'321'!$T$48</definedName>
    <definedName name="OSRRefT22_4x_0" localSheetId="67">'325'!$T$50</definedName>
    <definedName name="OSRRefT22_4x_0" localSheetId="58">'326'!$T$53</definedName>
    <definedName name="OSRRefT22_4x_0" localSheetId="51">'330'!$T$58</definedName>
    <definedName name="OSRRefT22_4x_0" localSheetId="56">'331'!$T$69</definedName>
    <definedName name="OSRRefT22_4x_0" localSheetId="59">'332'!$T$51</definedName>
    <definedName name="OSRRefT22_4x_0" localSheetId="72">'405'!$T$52</definedName>
    <definedName name="OSRRefT22_4x_0" localSheetId="74">'411'!$T$46</definedName>
    <definedName name="OSRRefT22_4x_0" localSheetId="78">'415'!$T$52</definedName>
    <definedName name="OSRRefT22_4x_0" localSheetId="79">'418'!$T$49:$T$50</definedName>
    <definedName name="OSRRefT22_4x_0" localSheetId="80">'423'!$T$44</definedName>
    <definedName name="OSRRefT22_4x_0" localSheetId="82">'425'!$T$30</definedName>
    <definedName name="OSRRefT22_4x_0" localSheetId="84">'430'!$T$45</definedName>
    <definedName name="OSRRefT22_4x_0" localSheetId="85">'433'!$T$53</definedName>
    <definedName name="OSRRefT22_4x_0" localSheetId="86">'444'!$T$53</definedName>
    <definedName name="OSRRefT22_4x_0" localSheetId="87">'450'!$T$53</definedName>
    <definedName name="OSRRefT22_4x_0" localSheetId="71">'491'!$T$53</definedName>
    <definedName name="OSRRefT22_4x_0" localSheetId="83">'492'!$T$53</definedName>
    <definedName name="OSRRefT22_4x_0" localSheetId="89">'501'!$T$47</definedName>
    <definedName name="OSRRefT22_4x_0" localSheetId="39">'Div 2'!$T$47</definedName>
    <definedName name="OSRRefT22_4x_0" localSheetId="47">'Div 3'!$T$84</definedName>
    <definedName name="OSRRefT22_4x_0" localSheetId="69">'Div 4'!$T$55</definedName>
    <definedName name="OSRRefT22_4x_0" localSheetId="88">'Div 5'!$T$47</definedName>
    <definedName name="OSRRefT22_4x_0" localSheetId="61">'Div 6'!$T$61</definedName>
    <definedName name="OSRRefT22_4x_0" localSheetId="2">Summary!$T$92</definedName>
    <definedName name="OSRRefT22_5x_0" localSheetId="41">'201'!$T$47</definedName>
    <definedName name="OSRRefT22_5x_0" localSheetId="42">'202'!$T$47</definedName>
    <definedName name="OSRRefT22_5x_0" localSheetId="43">'203'!$T$48</definedName>
    <definedName name="OSRRefT22_5x_0" localSheetId="44">'204'!$T$48:$T$51</definedName>
    <definedName name="OSRRefT22_5x_0" localSheetId="45">'205'!$T$48</definedName>
    <definedName name="OSRRefT22_5x_0" localSheetId="46">'206'!$T$48</definedName>
    <definedName name="OSRRefT22_5x_0" localSheetId="48">'300'!$T$82:$T$83</definedName>
    <definedName name="OSRRefT22_5x_0" localSheetId="49">'300 &amp; 317'!$T$88:$T$89</definedName>
    <definedName name="OSRRefT22_5x_0" localSheetId="50">'301'!$T$49:$T$50</definedName>
    <definedName name="OSRRefT22_5x_0" localSheetId="52">'307'!$T$60:$T$61</definedName>
    <definedName name="OSRRefT22_5x_0" localSheetId="53">'308'!$T$63</definedName>
    <definedName name="OSRRefT22_5x_0" localSheetId="63">'310'!$T$54:$T$55</definedName>
    <definedName name="OSRRefT22_5x_0" localSheetId="70">'310 &amp; 491'!$T$56:$T$57</definedName>
    <definedName name="OSRRefT22_5x_0" localSheetId="54">'311'!$T$63</definedName>
    <definedName name="OSRRefT22_5x_0" localSheetId="57">'315'!$T$71</definedName>
    <definedName name="OSRRefT22_5x_0" localSheetId="60">'316'!$T$53:$T$54</definedName>
    <definedName name="OSRRefT22_5x_0" localSheetId="62">'317'!$T$63</definedName>
    <definedName name="OSRRefT22_5x_0" localSheetId="65">'321'!$T$50</definedName>
    <definedName name="OSRRefT22_5x_0" localSheetId="67">'325'!$T$52:$T$53</definedName>
    <definedName name="OSRRefT22_5x_0" localSheetId="58">'326'!$T$55</definedName>
    <definedName name="OSRRefT22_5x_0" localSheetId="51">'330'!$T$60:$T$61</definedName>
    <definedName name="OSRRefT22_5x_0" localSheetId="56">'331'!$T$71</definedName>
    <definedName name="OSRRefT22_5x_0" localSheetId="59">'332'!$T$53:$T$54</definedName>
    <definedName name="OSRRefT22_5x_0" localSheetId="72">'405'!$T$54:$T$55</definedName>
    <definedName name="OSRRefT22_5x_0" localSheetId="74">'411'!$T$48</definedName>
    <definedName name="OSRRefT22_5x_0" localSheetId="78">'415'!$T$54:$T$55</definedName>
    <definedName name="OSRRefT22_5x_0" localSheetId="79">'418'!$T$52</definedName>
    <definedName name="OSRRefT22_5x_0" localSheetId="80">'423'!$T$46</definedName>
    <definedName name="OSRRefT22_5x_0" localSheetId="82">'425'!$T$32</definedName>
    <definedName name="OSRRefT22_5x_0" localSheetId="84">'430'!$T$47:$T$48</definedName>
    <definedName name="OSRRefT22_5x_0" localSheetId="85">'433'!$T$55</definedName>
    <definedName name="OSRRefT22_5x_0" localSheetId="86">'444'!$T$55</definedName>
    <definedName name="OSRRefT22_5x_0" localSheetId="87">'450'!$T$55</definedName>
    <definedName name="OSRRefT22_5x_0" localSheetId="71">'491'!$T$55:$T$56</definedName>
    <definedName name="OSRRefT22_5x_0" localSheetId="83">'492'!$T$55</definedName>
    <definedName name="OSRRefT22_5x_0" localSheetId="89">'501'!$T$49:$T$50</definedName>
    <definedName name="OSRRefT22_5x_0" localSheetId="39">'Div 2'!$T$49:$T$50</definedName>
    <definedName name="OSRRefT22_5x_0" localSheetId="47">'Div 3'!$T$86:$T$87</definedName>
    <definedName name="OSRRefT22_5x_0" localSheetId="69">'Div 4'!$T$57:$T$58</definedName>
    <definedName name="OSRRefT22_5x_0" localSheetId="88">'Div 5'!$T$49:$T$50</definedName>
    <definedName name="OSRRefT22_5x_0" localSheetId="61">'Div 6'!$T$63</definedName>
    <definedName name="OSRRefT22_5x_0" localSheetId="2">Summary!$T$94:$T$95</definedName>
    <definedName name="OSRRefT22_6x_0" localSheetId="41">'201'!$T$49</definedName>
    <definedName name="OSRRefT22_6x_0" localSheetId="42">'202'!$T$49:$T$51</definedName>
    <definedName name="OSRRefT22_6x_0" localSheetId="43">'203'!$T$50</definedName>
    <definedName name="OSRRefT22_6x_0" localSheetId="44">'204'!$T$53</definedName>
    <definedName name="OSRRefT22_6x_0" localSheetId="45">'205'!$T$50:$T$52</definedName>
    <definedName name="OSRRefT22_6x_0" localSheetId="46">'206'!$T$50:$T$51</definedName>
    <definedName name="OSRRefT22_6x_0" localSheetId="48">'300'!$T$85:$T$86</definedName>
    <definedName name="OSRRefT22_6x_0" localSheetId="49">'300 &amp; 317'!$T$91:$T$92</definedName>
    <definedName name="OSRRefT22_6x_0" localSheetId="50">'301'!$T$52</definedName>
    <definedName name="OSRRefT22_6x_0" localSheetId="52">'307'!$T$63</definedName>
    <definedName name="OSRRefT22_6x_0" localSheetId="53">'308'!$T$65</definedName>
    <definedName name="OSRRefT22_6x_0" localSheetId="63">'310'!$T$57</definedName>
    <definedName name="OSRRefT22_6x_0" localSheetId="70">'310 &amp; 491'!$T$59</definedName>
    <definedName name="OSRRefT22_6x_0" localSheetId="54">'311'!$T$65</definedName>
    <definedName name="OSRRefT22_6x_0" localSheetId="57">'315'!$T$73</definedName>
    <definedName name="OSRRefT22_6x_0" localSheetId="60">'316'!$T$56</definedName>
    <definedName name="OSRRefT22_6x_0" localSheetId="62">'317'!$T$65</definedName>
    <definedName name="OSRRefT22_6x_0" localSheetId="65">'321'!$T$52:$T$53</definedName>
    <definedName name="OSRRefT22_6x_0" localSheetId="67">'325'!$T$55</definedName>
    <definedName name="OSRRefT22_6x_0" localSheetId="58">'326'!$T$57</definedName>
    <definedName name="OSRRefT22_6x_0" localSheetId="51">'330'!$T$63</definedName>
    <definedName name="OSRRefT22_6x_0" localSheetId="56">'331'!$T$73</definedName>
    <definedName name="OSRRefT22_6x_0" localSheetId="59">'332'!$T$56</definedName>
    <definedName name="OSRRefT22_6x_0" localSheetId="72">'405'!$T$57</definedName>
    <definedName name="OSRRefT22_6x_0" localSheetId="74">'411'!$T$50</definedName>
    <definedName name="OSRRefT22_6x_0" localSheetId="78">'415'!$T$57</definedName>
    <definedName name="OSRRefT22_6x_0" localSheetId="79">'418'!$T$54</definedName>
    <definedName name="OSRRefT22_6x_0" localSheetId="84">'430'!$T$50:$T$51</definedName>
    <definedName name="OSRRefT22_6x_0" localSheetId="85">'433'!$T$57</definedName>
    <definedName name="OSRRefT22_6x_0" localSheetId="86">'444'!$T$57</definedName>
    <definedName name="OSRRefT22_6x_0" localSheetId="87">'450'!$T$57</definedName>
    <definedName name="OSRRefT22_6x_0" localSheetId="71">'491'!$T$58</definedName>
    <definedName name="OSRRefT22_6x_0" localSheetId="83">'492'!$T$57</definedName>
    <definedName name="OSRRefT22_6x_0" localSheetId="89">'501'!$T$52</definedName>
    <definedName name="OSRRefT22_6x_0" localSheetId="39">'Div 2'!$T$52</definedName>
    <definedName name="OSRRefT22_6x_0" localSheetId="47">'Div 3'!$T$89:$T$90</definedName>
    <definedName name="OSRRefT22_6x_0" localSheetId="69">'Div 4'!$T$60</definedName>
    <definedName name="OSRRefT22_6x_0" localSheetId="88">'Div 5'!$T$52</definedName>
    <definedName name="OSRRefT22_6x_0" localSheetId="61">'Div 6'!$T$65</definedName>
    <definedName name="OSRRefT22_6x_0" localSheetId="2">Summary!$T$97:$T$98</definedName>
    <definedName name="OSRRefT22_7x_0" localSheetId="41">'201'!$T$51</definedName>
    <definedName name="OSRRefT22_7x_0" localSheetId="42">'202'!$T$53</definedName>
    <definedName name="OSRRefT22_7x_0" localSheetId="43">'203'!$T$52</definedName>
    <definedName name="OSRRefT22_7x_0" localSheetId="44">'204'!$T$55:$T$56</definedName>
    <definedName name="OSRRefT22_7x_0" localSheetId="45">'205'!$T$54</definedName>
    <definedName name="OSRRefT22_7x_0" localSheetId="46">'206'!$T$53</definedName>
    <definedName name="OSRRefT22_7x_0" localSheetId="48">'300'!$T$88</definedName>
    <definedName name="OSRRefT22_7x_0" localSheetId="49">'300 &amp; 317'!$T$94</definedName>
    <definedName name="OSRRefT22_7x_0" localSheetId="50">'301'!$T$54</definedName>
    <definedName name="OSRRefT22_7x_0" localSheetId="52">'307'!$T$65</definedName>
    <definedName name="OSRRefT22_7x_0" localSheetId="53">'308'!$T$67</definedName>
    <definedName name="OSRRefT22_7x_0" localSheetId="63">'310'!$T$59</definedName>
    <definedName name="OSRRefT22_7x_0" localSheetId="70">'310 &amp; 491'!$T$61</definedName>
    <definedName name="OSRRefT22_7x_0" localSheetId="54">'311'!$T$67</definedName>
    <definedName name="OSRRefT22_7x_0" localSheetId="57">'315'!$T$75:$T$76</definedName>
    <definedName name="OSRRefT22_7x_0" localSheetId="60">'316'!$T$58:$T$60</definedName>
    <definedName name="OSRRefT22_7x_0" localSheetId="62">'317'!$T$67</definedName>
    <definedName name="OSRRefT22_7x_0" localSheetId="65">'321'!$T$55</definedName>
    <definedName name="OSRRefT22_7x_0" localSheetId="67">'325'!$T$57</definedName>
    <definedName name="OSRRefT22_7x_0" localSheetId="58">'326'!$T$59</definedName>
    <definedName name="OSRRefT22_7x_0" localSheetId="51">'330'!$T$65</definedName>
    <definedName name="OSRRefT22_7x_0" localSheetId="56">'331'!$T$75:$T$76</definedName>
    <definedName name="OSRRefT22_7x_0" localSheetId="59">'332'!$T$58:$T$60</definedName>
    <definedName name="OSRRefT22_7x_0" localSheetId="72">'405'!$T$59</definedName>
    <definedName name="OSRRefT22_7x_0" localSheetId="74">'411'!$T$52</definedName>
    <definedName name="OSRRefT22_7x_0" localSheetId="78">'415'!$T$59</definedName>
    <definedName name="OSRRefT22_7x_0" localSheetId="79">'418'!$T$56</definedName>
    <definedName name="OSRRefT22_7x_0" localSheetId="84">'430'!$T$53</definedName>
    <definedName name="OSRRefT22_7x_0" localSheetId="85">'433'!$T$59</definedName>
    <definedName name="OSRRefT22_7x_0" localSheetId="86">'444'!$T$59</definedName>
    <definedName name="OSRRefT22_7x_0" localSheetId="87">'450'!$T$59</definedName>
    <definedName name="OSRRefT22_7x_0" localSheetId="71">'491'!$T$60</definedName>
    <definedName name="OSRRefT22_7x_0" localSheetId="83">'492'!$T$59</definedName>
    <definedName name="OSRRefT22_7x_0" localSheetId="89">'501'!$T$54</definedName>
    <definedName name="OSRRefT22_7x_0" localSheetId="39">'Div 2'!$T$54</definedName>
    <definedName name="OSRRefT22_7x_0" localSheetId="47">'Div 3'!$T$92</definedName>
    <definedName name="OSRRefT22_7x_0" localSheetId="69">'Div 4'!$T$62</definedName>
    <definedName name="OSRRefT22_7x_0" localSheetId="88">'Div 5'!$T$54</definedName>
    <definedName name="OSRRefT22_7x_0" localSheetId="61">'Div 6'!$T$67</definedName>
    <definedName name="OSRRefT22_7x_0" localSheetId="2">Summary!$T$100</definedName>
    <definedName name="OSRRefT22_8x_0" localSheetId="41">'201'!$T$53:$T$54</definedName>
    <definedName name="OSRRefT22_8x_0" localSheetId="42">'202'!$T$55</definedName>
    <definedName name="OSRRefT22_8x_0" localSheetId="43">'203'!$T$54:$T$56</definedName>
    <definedName name="OSRRefT22_8x_0" localSheetId="48">'300'!$T$90</definedName>
    <definedName name="OSRRefT22_8x_0" localSheetId="49">'300 &amp; 317'!$T$96</definedName>
    <definedName name="OSRRefT22_8x_0" localSheetId="50">'301'!$T$56</definedName>
    <definedName name="OSRRefT22_8x_0" localSheetId="52">'307'!$T$67</definedName>
    <definedName name="OSRRefT22_8x_0" localSheetId="53">'308'!$T$69:$T$71</definedName>
    <definedName name="OSRRefT22_8x_0" localSheetId="63">'310'!$T$61</definedName>
    <definedName name="OSRRefT22_8x_0" localSheetId="70">'310 &amp; 491'!$T$63</definedName>
    <definedName name="OSRRefT22_8x_0" localSheetId="54">'311'!$T$69:$T$71</definedName>
    <definedName name="OSRRefT22_8x_0" localSheetId="57">'315'!$T$78</definedName>
    <definedName name="OSRRefT22_8x_0" localSheetId="60">'316'!$T$62</definedName>
    <definedName name="OSRRefT22_8x_0" localSheetId="62">'317'!$T$69:$T$70</definedName>
    <definedName name="OSRRefT22_8x_0" localSheetId="65">'321'!$T$57:$T$58</definedName>
    <definedName name="OSRRefT22_8x_0" localSheetId="67">'325'!$T$59</definedName>
    <definedName name="OSRRefT22_8x_0" localSheetId="58">'326'!$T$61</definedName>
    <definedName name="OSRRefT22_8x_0" localSheetId="51">'330'!$T$67</definedName>
    <definedName name="OSRRefT22_8x_0" localSheetId="56">'331'!$T$78:$T$79</definedName>
    <definedName name="OSRRefT22_8x_0" localSheetId="59">'332'!$T$62</definedName>
    <definedName name="OSRRefT22_8x_0" localSheetId="72">'405'!$T$61</definedName>
    <definedName name="OSRRefT22_8x_0" localSheetId="74">'411'!$T$54:$T$56</definedName>
    <definedName name="OSRRefT22_8x_0" localSheetId="78">'415'!$T$61</definedName>
    <definedName name="OSRRefT22_8x_0" localSheetId="79">'418'!$T$58:$T$59</definedName>
    <definedName name="OSRRefT22_8x_0" localSheetId="84">'430'!$T$55</definedName>
    <definedName name="OSRRefT22_8x_0" localSheetId="85">'433'!$T$61</definedName>
    <definedName name="OSRRefT22_8x_0" localSheetId="86">'444'!$T$61</definedName>
    <definedName name="OSRRefT22_8x_0" localSheetId="87">'450'!$T$61</definedName>
    <definedName name="OSRRefT22_8x_0" localSheetId="71">'491'!$T$62</definedName>
    <definedName name="OSRRefT22_8x_0" localSheetId="83">'492'!$T$61</definedName>
    <definedName name="OSRRefT22_8x_0" localSheetId="89">'501'!$T$56</definedName>
    <definedName name="OSRRefT22_8x_0" localSheetId="39">'Div 2'!$T$56</definedName>
    <definedName name="OSRRefT22_8x_0" localSheetId="47">'Div 3'!$T$94</definedName>
    <definedName name="OSRRefT22_8x_0" localSheetId="69">'Div 4'!$T$64</definedName>
    <definedName name="OSRRefT22_8x_0" localSheetId="88">'Div 5'!$T$56</definedName>
    <definedName name="OSRRefT22_8x_0" localSheetId="61">'Div 6'!$T$69:$T$70</definedName>
    <definedName name="OSRRefT22_8x_0" localSheetId="2">Summary!$T$102</definedName>
    <definedName name="OSRRefT22_9x_0" localSheetId="41">'201'!$T$56:$T$57</definedName>
    <definedName name="OSRRefT22_9x_0" localSheetId="42">'202'!$T$57</definedName>
    <definedName name="OSRRefT22_9x_0" localSheetId="43">'203'!$T$58:$T$59</definedName>
    <definedName name="OSRRefT22_9x_0" localSheetId="48">'300'!$T$92</definedName>
    <definedName name="OSRRefT22_9x_0" localSheetId="49">'300 &amp; 317'!$T$98</definedName>
    <definedName name="OSRRefT22_9x_0" localSheetId="50">'301'!$T$58</definedName>
    <definedName name="OSRRefT22_9x_0" localSheetId="52">'307'!$T$69:$T$70</definedName>
    <definedName name="OSRRefT22_9x_0" localSheetId="53">'308'!$T$73</definedName>
    <definedName name="OSRRefT22_9x_0" localSheetId="63">'310'!$T$63</definedName>
    <definedName name="OSRRefT22_9x_0" localSheetId="70">'310 &amp; 491'!$T$65</definedName>
    <definedName name="OSRRefT22_9x_0" localSheetId="54">'311'!$T$73</definedName>
    <definedName name="OSRRefT22_9x_0" localSheetId="57">'315'!$T$80</definedName>
    <definedName name="OSRRefT22_9x_0" localSheetId="60">'316'!$T$64:$T$67</definedName>
    <definedName name="OSRRefT22_9x_0" localSheetId="62">'317'!$T$72</definedName>
    <definedName name="OSRRefT22_9x_0" localSheetId="65">'321'!$T$60:$T$63</definedName>
    <definedName name="OSRRefT22_9x_0" localSheetId="67">'325'!$T$61</definedName>
    <definedName name="OSRRefT22_9x_0" localSheetId="58">'326'!$T$63</definedName>
    <definedName name="OSRRefT22_9x_0" localSheetId="51">'330'!$T$69:$T$70</definedName>
    <definedName name="OSRRefT22_9x_0" localSheetId="56">'331'!$T$81</definedName>
    <definedName name="OSRRefT22_9x_0" localSheetId="59">'332'!$T$64:$T$67</definedName>
    <definedName name="OSRRefT22_9x_0" localSheetId="72">'405'!$T$63:$T$64</definedName>
    <definedName name="OSRRefT22_9x_0" localSheetId="74">'411'!$T$58:$T$60</definedName>
    <definedName name="OSRRefT22_9x_0" localSheetId="78">'415'!$T$63</definedName>
    <definedName name="OSRRefT22_9x_0" localSheetId="79">'418'!$T$61:$T$64</definedName>
    <definedName name="OSRRefT22_9x_0" localSheetId="85">'433'!$T$63</definedName>
    <definedName name="OSRRefT22_9x_0" localSheetId="86">'444'!$T$63</definedName>
    <definedName name="OSRRefT22_9x_0" localSheetId="87">'450'!$T$63</definedName>
    <definedName name="OSRRefT22_9x_0" localSheetId="71">'491'!$T$64</definedName>
    <definedName name="OSRRefT22_9x_0" localSheetId="83">'492'!$T$63</definedName>
    <definedName name="OSRRefT22_9x_0" localSheetId="89">'501'!$T$58:$T$60</definedName>
    <definedName name="OSRRefT22_9x_0" localSheetId="39">'Div 2'!$T$58</definedName>
    <definedName name="OSRRefT22_9x_0" localSheetId="47">'Div 3'!$T$96</definedName>
    <definedName name="OSRRefT22_9x_0" localSheetId="69">'Div 4'!$T$66</definedName>
    <definedName name="OSRRefT22_9x_0" localSheetId="88">'Div 5'!$T$58:$T$60</definedName>
    <definedName name="OSRRefT22_9x_0" localSheetId="61">'Div 6'!$T$72</definedName>
    <definedName name="OSRRefT22_9x_0" localSheetId="2">Summary!$T$104</definedName>
    <definedName name="OSRRefT22x_0" localSheetId="40">'200'!$T$20,'200'!$T$22,'200'!$T$24,'200'!$T$26:$T$27</definedName>
    <definedName name="OSRRefT22x_0" localSheetId="41">'201'!$T$20:$T$28,'201'!$T$30:$T$39,'201'!$T$41,'201'!$T$43,'201'!$T$45,'201'!$T$47,'201'!$T$49,'201'!$T$51,'201'!$T$53:$T$54,'201'!$T$56:$T$57,'201'!$T$59,'201'!$T$61:$T$62,'201'!$T$64,'201'!$T$66</definedName>
    <definedName name="OSRRefT22x_0" localSheetId="42">'202'!$T$20:$T$28,'202'!$T$30:$T$39,'202'!$T$41,'202'!$T$43,'202'!$T$45,'202'!$T$47,'202'!$T$49:$T$51,'202'!$T$53,'202'!$T$55,'202'!$T$57,'202'!$T$59,'202'!$T$61</definedName>
    <definedName name="OSRRefT22x_0" localSheetId="43">'203'!$T$20:$T$29,'203'!$T$31:$T$40,'203'!$T$42,'203'!$T$44,'203'!$T$46,'203'!$T$48,'203'!$T$50,'203'!$T$52,'203'!$T$54:$T$56,'203'!$T$58:$T$59,'203'!$T$61,'203'!$T$63:$T$66,'203'!$T$68,'203'!$T$70</definedName>
    <definedName name="OSRRefT22x_0" localSheetId="44">'204'!$T$20:$T$28,'204'!$T$30:$T$39,'204'!$T$41,'204'!$T$43:$T$44,'204'!$T$46,'204'!$T$48:$T$51,'204'!$T$53,'204'!$T$55:$T$56</definedName>
    <definedName name="OSRRefT22x_0" localSheetId="45">'205'!$T$20:$T$28,'205'!$T$30:$T$39,'205'!$T$41,'205'!$T$43,'205'!$T$45:$T$46,'205'!$T$48,'205'!$T$50:$T$52,'205'!$T$54</definedName>
    <definedName name="OSRRefT22x_0" localSheetId="46">'206'!$T$20:$T$28,'206'!$T$30:$T$39,'206'!$T$41,'206'!$T$43,'206'!$T$45:$T$46,'206'!$T$48,'206'!$T$50:$T$51,'206'!$T$53</definedName>
    <definedName name="OSRRefT22x_0" localSheetId="48">'300'!$T$54:$T$63,'300'!$T$65:$T$74,'300'!$T$76,'300'!$T$78,'300'!$T$80,'300'!$T$82:$T$83,'300'!$T$85:$T$86,'300'!$T$88,'300'!$T$90,'300'!$T$92,'300'!$T$94:$T$95,'300'!$T$97:$T$98,'300'!$T$100,'300'!$T$102,'300'!$T$104,'300'!$T$106,'300'!$T$108:$T$111,'300'!$T$113:$T$116,'300'!$T$118:$T$120,'300'!$T$122:$T$123,'300'!$T$125:$T$131,'300'!$T$133:$T$134,'300'!$T$136,'300'!$T$138:$T$140,'300'!$T$142</definedName>
    <definedName name="OSRRefT22x_0" localSheetId="49">'300 &amp; 317'!$T$60:$T$69,'300 &amp; 317'!$T$71:$T$80,'300 &amp; 317'!$T$82,'300 &amp; 317'!$T$84,'300 &amp; 317'!$T$86,'300 &amp; 317'!$T$88:$T$89,'300 &amp; 317'!$T$91:$T$92,'300 &amp; 317'!$T$94,'300 &amp; 317'!$T$96,'300 &amp; 317'!$T$98,'300 &amp; 317'!$T$100:$T$101,'300 &amp; 317'!$T$103:$T$104,'300 &amp; 317'!$T$106,'300 &amp; 317'!$T$108,'300 &amp; 317'!$T$110,'300 &amp; 317'!$T$112,'300 &amp; 317'!$T$114:$T$117,'300 &amp; 317'!$T$119:$T$122,'300 &amp; 317'!$T$124:$T$126,'300 &amp; 317'!$T$128:$T$129,'300 &amp; 317'!$T$131:$T$137,'300 &amp; 317'!$T$139:$T$140,'300 &amp; 317'!$T$142,'300 &amp; 317'!$T$144:$T$146,'300 &amp; 317'!$T$148</definedName>
    <definedName name="OSRRefT22x_0" localSheetId="50">'301'!$T$21:$T$30,'301'!$T$32:$T$41,'301'!$T$43,'301'!$T$45,'301'!$T$47,'301'!$T$49:$T$50,'301'!$T$52,'301'!$T$54,'301'!$T$56,'301'!$T$58,'301'!$T$60,'301'!$T$62,'301'!$T$64,'301'!$T$66,'301'!$T$68,'301'!$T$70:$T$73,'301'!$T$75:$T$76,'301'!$T$78,'301'!$T$80:$T$85,'301'!$T$87,'301'!$T$89,'301'!$T$91:$T$92,'301'!$T$94</definedName>
    <definedName name="OSRRefT22x_0" localSheetId="52">'307'!$T$34:$T$41,'307'!$T$43:$T$52,'307'!$T$54,'307'!$T$56,'307'!$T$58,'307'!$T$60:$T$61,'307'!$T$63,'307'!$T$65,'307'!$T$67,'307'!$T$69:$T$70,'307'!$T$72:$T$73,'307'!$T$75:$T$78,'307'!$T$80</definedName>
    <definedName name="OSRRefT22x_0" localSheetId="53">'308'!$T$35:$T$44,'308'!$T$46:$T$55,'308'!$T$57,'308'!$T$59,'308'!$T$61,'308'!$T$63,'308'!$T$65,'308'!$T$67,'308'!$T$69:$T$71,'308'!$T$73,'308'!$T$75:$T$76,'308'!$T$78:$T$79</definedName>
    <definedName name="OSRRefT22x_0" localSheetId="64">'309'!$T$20,'309'!$T$22,'309'!$T$24:$T$25,'309'!$T$27</definedName>
    <definedName name="OSRRefT22x_0" localSheetId="63">'310'!$T$27:$T$35,'310'!$T$37:$T$46,'310'!$T$48,'310'!$T$50,'310'!$T$52,'310'!$T$54:$T$55,'310'!$T$57,'310'!$T$59,'310'!$T$61,'310'!$T$63,'310'!$T$65:$T$67,'310'!$T$69,'310'!$T$71:$T$73,'310'!$T$75:$T$79,'310'!$T$81:$T$82,'310'!$T$84,'310'!$T$86</definedName>
    <definedName name="OSRRefT22x_0" localSheetId="70">'310 &amp; 491'!$T$29:$T$37,'310 &amp; 491'!$T$39:$T$48,'310 &amp; 491'!$T$50,'310 &amp; 491'!$T$52,'310 &amp; 491'!$T$54,'310 &amp; 491'!$T$56:$T$57,'310 &amp; 491'!$T$59,'310 &amp; 491'!$T$61,'310 &amp; 491'!$T$63,'310 &amp; 491'!$T$65,'310 &amp; 491'!$T$67,'310 &amp; 491'!$T$69,'310 &amp; 491'!$T$71:$T$73,'310 &amp; 491'!$T$75:$T$76,'310 &amp; 491'!$T$78:$T$82,'310 &amp; 491'!$T$84,'310 &amp; 491'!$T$86:$T$95,'310 &amp; 491'!$T$97:$T$98,'310 &amp; 491'!$T$100,'310 &amp; 491'!$T$102</definedName>
    <definedName name="OSRRefT22x_0" localSheetId="54">'311'!$T$35:$T$44,'311'!$T$46:$T$55,'311'!$T$57,'311'!$T$59,'311'!$T$61,'311'!$T$63,'311'!$T$65,'311'!$T$67,'311'!$T$69:$T$71,'311'!$T$73,'311'!$T$75:$T$76,'311'!$T$78:$T$79</definedName>
    <definedName name="OSRRefT22x_0" localSheetId="57">'315'!$T$44:$T$52,'315'!$T$54:$T$63,'315'!$T$65,'315'!$T$67,'315'!$T$69,'315'!$T$71,'315'!$T$73,'315'!$T$75:$T$76,'315'!$T$78,'315'!$T$80,'315'!$T$82,'315'!$T$84:$T$85,'315'!$T$87:$T$89,'315'!$T$91:$T$92,'315'!$T$94:$T$96,'315'!$T$98,'315'!$T$100</definedName>
    <definedName name="OSRRefT22x_0" localSheetId="60">'316'!$T$26:$T$34,'316'!$T$36:$T$45,'316'!$T$47,'316'!$T$49,'316'!$T$51,'316'!$T$53:$T$54,'316'!$T$56,'316'!$T$58:$T$60,'316'!$T$62,'316'!$T$64:$T$67,'316'!$T$69</definedName>
    <definedName name="OSRRefT22x_0" localSheetId="62">'317'!$T$35:$T$44,'317'!$T$46:$T$55,'317'!$T$57,'317'!$T$59,'317'!$T$61,'317'!$T$63,'317'!$T$65,'317'!$T$67,'317'!$T$69:$T$70,'317'!$T$72</definedName>
    <definedName name="OSRRefT22x_0" localSheetId="65">'321'!$T$23:$T$31,'321'!$T$33:$T$42,'321'!$T$44,'321'!$T$46,'321'!$T$48,'321'!$T$50,'321'!$T$52:$T$53,'321'!$T$55,'321'!$T$57:$T$58,'321'!$T$60:$T$63,'321'!$T$65,'321'!$T$67</definedName>
    <definedName name="OSRRefT22x_0" localSheetId="66">'322'!$T$20</definedName>
    <definedName name="OSRRefT22x_0" localSheetId="67">'325'!$T$25:$T$33,'325'!$T$35:$T$44,'325'!$T$46,'325'!$T$48,'325'!$T$50,'325'!$T$52:$T$53,'325'!$T$55,'325'!$T$57,'325'!$T$59,'325'!$T$61,'325'!$T$63:$T$65,'325'!$T$67:$T$69,'325'!$T$71:$T$75,'325'!$T$77:$T$78,'325'!$T$80</definedName>
    <definedName name="OSRRefT22x_0" localSheetId="58">'326'!$T$28:$T$36,'326'!$T$38:$T$47,'326'!$T$49,'326'!$T$51,'326'!$T$53,'326'!$T$55,'326'!$T$57,'326'!$T$59,'326'!$T$61,'326'!$T$63,'326'!$T$65,'326'!$T$67:$T$68,'326'!$T$70:$T$71,'326'!$T$73:$T$74,'326'!$T$76:$T$78,'326'!$T$80,'326'!$T$82:$T$83,'326'!$T$85</definedName>
    <definedName name="OSRRefT22x_0" localSheetId="68">'327'!$T$26</definedName>
    <definedName name="OSRRefT22x_0" localSheetId="51">'330'!$T$34:$T$41,'330'!$T$43:$T$52,'330'!$T$54,'330'!$T$56,'330'!$T$58,'330'!$T$60:$T$61,'330'!$T$63,'330'!$T$65,'330'!$T$67,'330'!$T$69:$T$70,'330'!$T$72:$T$73,'330'!$T$75:$T$78,'330'!$T$80</definedName>
    <definedName name="OSRRefT22x_0" localSheetId="56">'331'!$T$44:$T$52,'331'!$T$54:$T$63,'331'!$T$65,'331'!$T$67,'331'!$T$69,'331'!$T$71,'331'!$T$73,'331'!$T$75:$T$76,'331'!$T$78:$T$79,'331'!$T$81,'331'!$T$83,'331'!$T$85,'331'!$T$87,'331'!$T$89:$T$90,'331'!$T$92:$T$94,'331'!$T$96:$T$97,'331'!$T$99:$T$100,'331'!$T$102:$T$105,'331'!$T$107,'331'!$T$109:$T$110,'331'!$T$112</definedName>
    <definedName name="OSRRefT22x_0" localSheetId="59">'332'!$T$26:$T$34,'332'!$T$36:$T$45,'332'!$T$47,'332'!$T$49,'332'!$T$51,'332'!$T$53:$T$54,'332'!$T$56,'332'!$T$58:$T$60,'332'!$T$62,'332'!$T$64:$T$67,'332'!$T$69</definedName>
    <definedName name="OSRRefT22x_0" localSheetId="72">'405'!$T$27:$T$35,'405'!$T$37:$T$46,'405'!$T$48,'405'!$T$50,'405'!$T$52,'405'!$T$54:$T$55,'405'!$T$57,'405'!$T$59,'405'!$T$61,'405'!$T$63:$T$64,'405'!$T$66:$T$69,'405'!$T$71,'405'!$T$73:$T$80,'405'!$T$82,'405'!$T$84,'405'!$T$86</definedName>
    <definedName name="OSRRefT22x_0" localSheetId="73">'406'!$T$20,'406'!$T$22</definedName>
    <definedName name="OSRRefT22x_0" localSheetId="74">'411'!$T$20:$T$28,'411'!$T$30:$T$39,'411'!$T$41,'411'!$T$43:$T$44,'411'!$T$46,'411'!$T$48,'411'!$T$50,'411'!$T$52,'411'!$T$54:$T$56,'411'!$T$58:$T$60,'411'!$T$62,'411'!$T$64,'411'!$T$66,'411'!$T$68</definedName>
    <definedName name="OSRRefT22x_0" localSheetId="75">'412'!$T$20,'412'!$T$22,'412'!$T$24,'412'!$T$26</definedName>
    <definedName name="OSRRefT22x_0" localSheetId="76">'413'!$T$20,'413'!$T$22,'413'!$T$24</definedName>
    <definedName name="OSRRefT22x_0" localSheetId="77">'414'!$T$20,'414'!$T$22</definedName>
    <definedName name="OSRRefT22x_0" localSheetId="78">'415'!$T$27:$T$35,'415'!$T$37:$T$46,'415'!$T$48,'415'!$T$50,'415'!$T$52,'415'!$T$54:$T$55,'415'!$T$57,'415'!$T$59,'415'!$T$61,'415'!$T$63,'415'!$T$65:$T$66,'415'!$T$68:$T$71,'415'!$T$73,'415'!$T$75:$T$80,'415'!$T$82:$T$83,'415'!$T$85,'415'!$T$87</definedName>
    <definedName name="OSRRefT22x_0" localSheetId="79">'418'!$T$24:$T$32,'418'!$T$34:$T$43,'418'!$T$45,'418'!$T$47,'418'!$T$49:$T$50,'418'!$T$52,'418'!$T$54,'418'!$T$56,'418'!$T$58:$T$59,'418'!$T$61:$T$64,'418'!$T$66,'418'!$T$68:$T$75,'418'!$T$77:$T$78,'418'!$T$80,'418'!$T$82</definedName>
    <definedName name="OSRRefT22x_0" localSheetId="80">'423'!$T$20:$T$27,'423'!$T$29:$T$38,'423'!$T$40,'423'!$T$42,'423'!$T$44,'423'!$T$46</definedName>
    <definedName name="OSRRefT22x_0" localSheetId="81">'424'!$T$20,'424'!$T$22</definedName>
    <definedName name="OSRRefT22x_0" localSheetId="82">'425'!$T$22,'425'!$T$24,'425'!$T$26,'425'!$T$28,'425'!$T$30,'425'!$T$32</definedName>
    <definedName name="OSRRefT22x_0" localSheetId="84">'430'!$T$20:$T$28,'430'!$T$30:$T$39,'430'!$T$41,'430'!$T$43,'430'!$T$45,'430'!$T$47:$T$48,'430'!$T$50:$T$51,'430'!$T$53,'430'!$T$55</definedName>
    <definedName name="OSRRefT22x_0" localSheetId="85">'433'!$T$27:$T$36,'433'!$T$38:$T$47,'433'!$T$49,'433'!$T$51,'433'!$T$53,'433'!$T$55,'433'!$T$57,'433'!$T$59,'433'!$T$61,'433'!$T$63,'433'!$T$65,'433'!$T$67:$T$69,'433'!$T$71:$T$74,'433'!$T$76:$T$83,'433'!$T$85</definedName>
    <definedName name="OSRRefT22x_0" localSheetId="86">'444'!$T$27:$T$36,'444'!$T$38:$T$47,'444'!$T$49,'444'!$T$51,'444'!$T$53,'444'!$T$55,'444'!$T$57,'444'!$T$59,'444'!$T$61,'444'!$T$63,'444'!$T$65,'444'!$T$67:$T$68,'444'!$T$70:$T$73,'444'!$T$75:$T$81,'444'!$T$83,'444'!$T$85</definedName>
    <definedName name="OSRRefT22x_0" localSheetId="87">'450'!$T$27:$T$36,'450'!$T$38:$T$47,'450'!$T$49,'450'!$T$51,'450'!$T$53,'450'!$T$55,'450'!$T$57,'450'!$T$59,'450'!$T$61,'450'!$T$63,'450'!$T$65,'450'!$T$67:$T$69,'450'!$T$71:$T$74,'450'!$T$76:$T$82,'450'!$T$84,'450'!$T$86,'450'!$T$88</definedName>
    <definedName name="OSRRefT22x_0" localSheetId="71">'491'!$T$28:$T$36,'491'!$T$38:$T$47,'491'!$T$49,'491'!$T$51,'491'!$T$53,'491'!$T$55:$T$56,'491'!$T$58,'491'!$T$60,'491'!$T$62,'491'!$T$64,'491'!$T$66,'491'!$T$68,'491'!$T$70:$T$72,'491'!$T$74,'491'!$T$76:$T$80,'491'!$T$82,'491'!$T$84:$T$92,'491'!$T$94:$T$95,'491'!$T$97,'491'!$T$99</definedName>
    <definedName name="OSRRefT22x_0" localSheetId="83">'492'!$T$27:$T$36,'492'!$T$38:$T$47,'492'!$T$49,'492'!$T$51,'492'!$T$53,'492'!$T$55,'492'!$T$57,'492'!$T$59,'492'!$T$61,'492'!$T$63,'492'!$T$65,'492'!$T$67,'492'!$T$69:$T$71,'492'!$T$73:$T$76,'492'!$T$78:$T$85,'492'!$T$87:$T$88,'492'!$T$90,'492'!$T$92:$T$93</definedName>
    <definedName name="OSRRefT22x_0" localSheetId="89">'501'!$T$21:$T$30,'501'!$T$32:$T$41,'501'!$T$43,'501'!$T$45,'501'!$T$47,'501'!$T$49:$T$50,'501'!$T$52,'501'!$T$54,'501'!$T$56,'501'!$T$58:$T$60,'501'!$T$62,'501'!$T$64:$T$66,'501'!$T$68,'501'!$T$70</definedName>
    <definedName name="OSRRefT22x_0" localSheetId="39">'Div 2'!$T$20:$T$30,'Div 2'!$T$32:$T$41,'Div 2'!$T$43,'Div 2'!$T$45,'Div 2'!$T$47,'Div 2'!$T$49:$T$50,'Div 2'!$T$52,'Div 2'!$T$54,'Div 2'!$T$56,'Div 2'!$T$58,'Div 2'!$T$60,'Div 2'!$T$62,'Div 2'!$T$64:$T$67,'Div 2'!$T$69:$T$72,'Div 2'!$T$74:$T$75,'Div 2'!$T$77,'Div 2'!$T$79:$T$84,'Div 2'!$T$86:$T$87,'Div 2'!$T$89,'Div 2'!$T$91</definedName>
    <definedName name="OSRRefT22x_0" localSheetId="47">'Div 3'!$T$58:$T$67,'Div 3'!$T$69:$T$78,'Div 3'!$T$80,'Div 3'!$T$82,'Div 3'!$T$84,'Div 3'!$T$86:$T$87,'Div 3'!$T$89:$T$90,'Div 3'!$T$92,'Div 3'!$T$94,'Div 3'!$T$96,'Div 3'!$T$98:$T$99,'Div 3'!$T$101:$T$102,'Div 3'!$T$104,'Div 3'!$T$106,'Div 3'!$T$108,'Div 3'!$T$110,'Div 3'!$T$112,'Div 3'!$T$114:$T$117,'Div 3'!$T$119:$T$122,'Div 3'!$T$124:$T$127,'Div 3'!$T$129:$T$130,'Div 3'!$T$132:$T$138,'Div 3'!$T$140:$T$141,'Div 3'!$T$143,'Div 3'!$T$145:$T$147,'Div 3'!$T$149</definedName>
    <definedName name="OSRRefT22x_0" localSheetId="69">'Div 4'!$T$29:$T$38,'Div 4'!$T$40:$T$49,'Div 4'!$T$51,'Div 4'!$T$53,'Div 4'!$T$55,'Div 4'!$T$57:$T$58,'Div 4'!$T$60,'Div 4'!$T$62,'Div 4'!$T$64,'Div 4'!$T$66,'Div 4'!$T$68,'Div 4'!$T$70,'Div 4'!$T$72,'Div 4'!$T$74,'Div 4'!$T$76:$T$78,'Div 4'!$T$80,'Div 4'!$T$82:$T$86,'Div 4'!$T$88,'Div 4'!$T$90:$T$99,'Div 4'!$T$101:$T$102,'Div 4'!$T$104,'Div 4'!$T$106:$T$107,'Div 4'!$T$109</definedName>
    <definedName name="OSRRefT22x_0" localSheetId="88">'Div 5'!$T$21:$T$30,'Div 5'!$T$32:$T$41,'Div 5'!$T$43,'Div 5'!$T$45,'Div 5'!$T$47,'Div 5'!$T$49:$T$50,'Div 5'!$T$52,'Div 5'!$T$54,'Div 5'!$T$56,'Div 5'!$T$58:$T$60,'Div 5'!$T$62,'Div 5'!$T$64:$T$66,'Div 5'!$T$68,'Div 5'!$T$70</definedName>
    <definedName name="OSRRefT22x_0" localSheetId="61">'Div 6'!$T$35:$T$44,'Div 6'!$T$46:$T$55,'Div 6'!$T$57,'Div 6'!$T$59,'Div 6'!$T$61,'Div 6'!$T$63,'Div 6'!$T$65,'Div 6'!$T$67,'Div 6'!$T$69:$T$70,'Div 6'!$T$72</definedName>
    <definedName name="OSRRefT22x_0" localSheetId="2">Summary!$T$66:$T$75,Summary!$T$77:$T$86,Summary!$T$88,Summary!$T$90,Summary!$T$92,Summary!$T$94:$T$95,Summary!$T$97:$T$98,Summary!$T$100,Summary!$T$102,Summary!$T$104,Summary!$T$106:$T$107,Summary!$T$109:$T$110,Summary!$T$112,Summary!$T$114,Summary!$T$116,Summary!$T$118,Summary!$T$120,Summary!$T$122,Summary!$T$124:$T$127,Summary!$T$129:$T$132,Summary!$T$134:$T$138,Summary!$T$140:$T$141,Summary!$T$143:$T$152,Summary!$T$154:$T$155,Summary!$T$157,Summary!$T$159:$T$161,Summary!$T$163</definedName>
    <definedName name="OSRRefT25x_0" localSheetId="48">'300'!$T$145:$T$149</definedName>
    <definedName name="OSRRefT25x_0" localSheetId="49">'300 &amp; 317'!$T$151:$T$157</definedName>
    <definedName name="OSRRefT25x_0" localSheetId="50">'301'!$T$97:$T$98</definedName>
    <definedName name="OSRRefT25x_0" localSheetId="53">'308'!$T$82:$T$85</definedName>
    <definedName name="OSRRefT25x_0" localSheetId="70">'310 &amp; 491'!$T$105:$T$107</definedName>
    <definedName name="OSRRefT25x_0" localSheetId="54">'311'!$T$82:$T$85</definedName>
    <definedName name="OSRRefT25x_0" localSheetId="57">'315'!$T$103:$T$105</definedName>
    <definedName name="OSRRefT25x_0" localSheetId="60">'316'!$T$72</definedName>
    <definedName name="OSRRefT25x_0" localSheetId="62">'317'!$T$75:$T$77</definedName>
    <definedName name="OSRRefT25x_0" localSheetId="56">'331'!$T$115:$T$117</definedName>
    <definedName name="OSRRefT25x_0" localSheetId="59">'332'!$T$72</definedName>
    <definedName name="OSRRefT25x_0" localSheetId="74">'411'!$T$71</definedName>
    <definedName name="OSRRefT25x_0" localSheetId="78">'415'!$T$90</definedName>
    <definedName name="OSRRefT25x_0" localSheetId="79">'418'!$T$85</definedName>
    <definedName name="OSRRefT25x_0" localSheetId="80">'423'!$T$49</definedName>
    <definedName name="OSRRefT25x_0" localSheetId="71">'491'!$T$102:$T$104</definedName>
    <definedName name="OSRRefT25x_0" localSheetId="89">'501'!$T$73</definedName>
    <definedName name="OSRRefT25x_0" localSheetId="47">'Div 3'!$T$152:$T$156</definedName>
    <definedName name="OSRRefT25x_0" localSheetId="69">'Div 4'!$T$112:$T$114</definedName>
    <definedName name="OSRRefT25x_0" localSheetId="88">'Div 5'!$T$73</definedName>
    <definedName name="OSRRefT25x_0" localSheetId="61">'Div 6'!$T$75:$T$77</definedName>
    <definedName name="OSRRefT25x_0" localSheetId="2">Summary!$T$166:$T$173</definedName>
    <definedName name="_xlnm.Print_Area" localSheetId="38">'100'!$A$1:$Z$34</definedName>
    <definedName name="_xlnm.Print_Area" localSheetId="40">'200'!$A$1:$Z$41</definedName>
    <definedName name="_xlnm.Print_Area" localSheetId="41">'201'!$A$1:$Z$80</definedName>
    <definedName name="_xlnm.Print_Area" localSheetId="42">'202'!$A$1:$Z$75</definedName>
    <definedName name="_xlnm.Print_Area" localSheetId="43">'203'!$A$1:$Z$84</definedName>
    <definedName name="_xlnm.Print_Area" localSheetId="44">'204'!$A$1:$Z$70</definedName>
    <definedName name="_xlnm.Print_Area" localSheetId="45">'205'!$A$1:$Z$68</definedName>
    <definedName name="_xlnm.Print_Area" localSheetId="46">'206'!$A$1:$Z$67</definedName>
    <definedName name="_xlnm.Print_Area" localSheetId="48">'300'!$A$1:$Z$161</definedName>
    <definedName name="_xlnm.Print_Area" localSheetId="49">'300 &amp; 317'!$A$1:$Z$169</definedName>
    <definedName name="_xlnm.Print_Area" localSheetId="50">'301'!$A$1:$Z$110</definedName>
    <definedName name="_xlnm.Print_Area" localSheetId="52">'307'!$A$1:$Z$94</definedName>
    <definedName name="_xlnm.Print_Area" localSheetId="53">'308'!$A$1:$Z$97</definedName>
    <definedName name="_xlnm.Print_Area" localSheetId="64">'309'!$A$1:$Z$41</definedName>
    <definedName name="_xlnm.Print_Area" localSheetId="63">'310'!$A$1:$Z$100</definedName>
    <definedName name="_xlnm.Print_Area" localSheetId="70">'310 &amp; 491'!$A$1:$Z$119</definedName>
    <definedName name="_xlnm.Print_Area" localSheetId="54">'311'!$A$1:$Z$97</definedName>
    <definedName name="_xlnm.Print_Area" localSheetId="57">'315'!$A$1:$Z$117</definedName>
    <definedName name="_xlnm.Print_Area" localSheetId="60">'316'!$A$1:$Z$84</definedName>
    <definedName name="_xlnm.Print_Area" localSheetId="62">'317'!$A$1:$Z$89</definedName>
    <definedName name="_xlnm.Print_Area" localSheetId="65">'321'!$A$1:$Z$81</definedName>
    <definedName name="_xlnm.Print_Area" localSheetId="66">'322'!$A$1:$Z$34</definedName>
    <definedName name="_xlnm.Print_Area" localSheetId="55">'324'!$A$1:$Z$35</definedName>
    <definedName name="_xlnm.Print_Area" localSheetId="67">'325'!$A$1:$Z$94</definedName>
    <definedName name="_xlnm.Print_Area" localSheetId="58">'326'!$A$1:$Z$99</definedName>
    <definedName name="_xlnm.Print_Area" localSheetId="68">'327'!$A$1:$Z$40</definedName>
    <definedName name="_xlnm.Print_Area" localSheetId="51">'330'!$A$1:$Z$94</definedName>
    <definedName name="_xlnm.Print_Area" localSheetId="56">'331'!$A$1:$Z$129</definedName>
    <definedName name="_xlnm.Print_Area" localSheetId="59">'332'!$A$1:$Z$84</definedName>
    <definedName name="_xlnm.Print_Area" localSheetId="72">'405'!$A$1:$Z$100</definedName>
    <definedName name="_xlnm.Print_Area" localSheetId="73">'406'!$A$1:$Z$36</definedName>
    <definedName name="_xlnm.Print_Area" localSheetId="74">'411'!$A$1:$Z$83</definedName>
    <definedName name="_xlnm.Print_Area" localSheetId="75">'412'!$A$1:$Z$40</definedName>
    <definedName name="_xlnm.Print_Area" localSheetId="76">'413'!$A$1:$Z$38</definedName>
    <definedName name="_xlnm.Print_Area" localSheetId="77">'414'!$A$1:$Z$36</definedName>
    <definedName name="_xlnm.Print_Area" localSheetId="78">'415'!$A$1:$Z$102</definedName>
    <definedName name="_xlnm.Print_Area" localSheetId="79">'418'!$A$1:$Z$97</definedName>
    <definedName name="_xlnm.Print_Area" localSheetId="80">'423'!$A$1:$Z$61</definedName>
    <definedName name="_xlnm.Print_Area" localSheetId="81">'424'!$A$1:$Z$36</definedName>
    <definedName name="_xlnm.Print_Area" localSheetId="82">'425'!$A$1:$Z$46</definedName>
    <definedName name="_xlnm.Print_Area" localSheetId="84">'430'!$A$1:$Z$69</definedName>
    <definedName name="_xlnm.Print_Area" localSheetId="85">'433'!$A$1:$Z$99</definedName>
    <definedName name="_xlnm.Print_Area" localSheetId="86">'444'!$A$1:$Z$99</definedName>
    <definedName name="_xlnm.Print_Area" localSheetId="87">'450'!$A$1:$Z$102</definedName>
    <definedName name="_xlnm.Print_Area" localSheetId="71">'491'!$A$1:$Z$116</definedName>
    <definedName name="_xlnm.Print_Area" localSheetId="83">'492'!$A$1:$Z$107</definedName>
    <definedName name="_xlnm.Print_Area" localSheetId="89">'501'!$A$1:$Z$85</definedName>
    <definedName name="_xlnm.Print_Area" localSheetId="90">Dept!$A$1:$Z$39</definedName>
    <definedName name="_xlnm.Print_Area" localSheetId="5">'Div 1'!$A$1:$Z$34</definedName>
    <definedName name="_xlnm.Print_Area" localSheetId="39">'Div 2'!$A$1:$Z$105</definedName>
    <definedName name="_xlnm.Print_Area" localSheetId="47">'Div 3'!$A$1:$Z$168</definedName>
    <definedName name="_xlnm.Print_Area" localSheetId="69">'Div 4'!$A$1:$Z$126</definedName>
    <definedName name="_xlnm.Print_Area" localSheetId="88">'Div 5'!$A$1:$Z$85</definedName>
    <definedName name="_xlnm.Print_Area" localSheetId="61">'Div 6'!$A$1:$Z$89</definedName>
    <definedName name="_xlnm.Print_Area" localSheetId="14">'OSR_300 &amp; 317_1C00ID4'!$A$1:$Z$39</definedName>
    <definedName name="_xlnm.Print_Area" localSheetId="15">'OSR_300 (2)_...6aa5a22d_14M6XO4'!$A$1:$Z$39</definedName>
    <definedName name="_xlnm.Print_Area" localSheetId="11">'OSR_300 (2)_7...54cb56fc_UFX0O2'!$A$1:$Z$39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3">'OSR_310 (2)_5...3d931dee_QNK8R2'!$A$1:$Z$39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(2)_...853a34aa_1UNC34K'!$A$1:$Z$39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1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(2)...32d16c57_IVJ1QO'!$A$1:$Z$39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2">'OSR_Summary (...56e5d78f_5JEYZH'!$A$1:$Z$39</definedName>
    <definedName name="_xlnm.Print_Area" localSheetId="3">OSR_Summary_18VAVWG!$A$1:$Z$39</definedName>
    <definedName name="_xlnm.Print_Area" localSheetId="2">Summary!$A$1:$Z$187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2">'307'!$A:$C,'307'!$1:$10</definedName>
    <definedName name="_xlnm.Print_Titles" localSheetId="53">'308'!$A:$C,'308'!$1:$10</definedName>
    <definedName name="_xlnm.Print_Titles" localSheetId="64">'309'!$A:$C,'309'!$1:$10</definedName>
    <definedName name="_xlnm.Print_Titles" localSheetId="63">'310'!$A:$C,'310'!$1:$10</definedName>
    <definedName name="_xlnm.Print_Titles" localSheetId="70">'310 &amp; 491'!$A:$C,'310 &amp; 491'!$1:$10</definedName>
    <definedName name="_xlnm.Print_Titles" localSheetId="54">'311'!$A:$C,'311'!$1:$10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5">'321'!$A:$C,'321'!$1:$10</definedName>
    <definedName name="_xlnm.Print_Titles" localSheetId="66">'322'!$A:$C,'322'!$1:$10</definedName>
    <definedName name="_xlnm.Print_Titles" localSheetId="55">'324'!$A:$C,'324'!$1:$10</definedName>
    <definedName name="_xlnm.Print_Titles" localSheetId="67">'325'!$A:$C,'325'!$1:$10</definedName>
    <definedName name="_xlnm.Print_Titles" localSheetId="58">'326'!$A:$C,'326'!$1:$10</definedName>
    <definedName name="_xlnm.Print_Titles" localSheetId="68">'327'!$A:$C,'327'!$1:$10</definedName>
    <definedName name="_xlnm.Print_Titles" localSheetId="51">'330'!$A:$C,'330'!$1:$10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72">'405'!$A:$C,'405'!$1:$10</definedName>
    <definedName name="_xlnm.Print_Titles" localSheetId="73">'406'!$A:$C,'406'!$1:$10</definedName>
    <definedName name="_xlnm.Print_Titles" localSheetId="74">'411'!$A:$C,'411'!$1:$10</definedName>
    <definedName name="_xlnm.Print_Titles" localSheetId="75">'412'!$A:$C,'412'!$1:$10</definedName>
    <definedName name="_xlnm.Print_Titles" localSheetId="76">'413'!$A:$C,'413'!$1:$10</definedName>
    <definedName name="_xlnm.Print_Titles" localSheetId="77">'414'!$A:$C,'414'!$1:$10</definedName>
    <definedName name="_xlnm.Print_Titles" localSheetId="78">'415'!$A:$C,'415'!$1:$10</definedName>
    <definedName name="_xlnm.Print_Titles" localSheetId="79">'418'!$A:$C,'418'!$1:$10</definedName>
    <definedName name="_xlnm.Print_Titles" localSheetId="80">'423'!$A:$C,'423'!$1:$10</definedName>
    <definedName name="_xlnm.Print_Titles" localSheetId="81">'424'!$A:$C,'424'!$1:$10</definedName>
    <definedName name="_xlnm.Print_Titles" localSheetId="82">'425'!$A:$C,'425'!$1:$10</definedName>
    <definedName name="_xlnm.Print_Titles" localSheetId="84">'430'!$A:$C,'430'!$1:$10</definedName>
    <definedName name="_xlnm.Print_Titles" localSheetId="85">'433'!$A:$C,'433'!$1:$10</definedName>
    <definedName name="_xlnm.Print_Titles" localSheetId="86">'444'!$A:$C,'444'!$1:$10</definedName>
    <definedName name="_xlnm.Print_Titles" localSheetId="87">'450'!$A:$C,'450'!$1:$10</definedName>
    <definedName name="_xlnm.Print_Titles" localSheetId="71">'491'!$A:$C,'491'!$1:$10</definedName>
    <definedName name="_xlnm.Print_Titles" localSheetId="83">'492'!$A:$C,'492'!$1:$10</definedName>
    <definedName name="_xlnm.Print_Titles" localSheetId="89">'501'!$A:$C,'501'!$1:$10</definedName>
    <definedName name="_xlnm.Print_Titles" localSheetId="90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69">'Div 4'!$A:$C,'Div 4'!$1:$10</definedName>
    <definedName name="_xlnm.Print_Titles" localSheetId="88">'Div 5'!$A:$C,'Div 5'!$1:$10</definedName>
    <definedName name="_xlnm.Print_Titles" localSheetId="61">'Div 6'!$A:$C,'Div 6'!$1:$10</definedName>
    <definedName name="_xlnm.Print_Titles" localSheetId="14">'OSR_300 &amp; 317_1C00ID4'!$A:$C,'OSR_300 &amp; 317_1C00ID4'!$1:$10</definedName>
    <definedName name="_xlnm.Print_Titles" localSheetId="15">'OSR_300 (2)_...6aa5a22d_14M6XO4'!$A:$C,'OSR_300 (2)_...6aa5a22d_14M6XO4'!$1:$10</definedName>
    <definedName name="_xlnm.Print_Titles" localSheetId="11">'OSR_300 (2)_7...54cb56fc_UFX0O2'!$A:$C,'OSR_300 (2)_7...54cb56fc_UFX0O2'!$1:$10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3">'OSR_310 (2)_5...3d931dee_QNK8R2'!$A:$C,'OSR_310 (2)_5...3d931dee_QNK8R2'!$1:$10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(2)_...853a34aa_1UNC34K'!$A:$C,'OSR_491 (2)_...853a34aa_1UNC34K'!$1:$10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1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(2)...32d16c57_IVJ1QO'!$A:$C,'OSR_Div 5 (2)...32d16c57_IVJ1QO'!$1:$10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2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5" l="1"/>
  <c r="B38" i="95"/>
  <c r="T34" i="95"/>
  <c r="P34" i="95"/>
  <c r="H34" i="95"/>
  <c r="D34" i="95"/>
  <c r="T33" i="95"/>
  <c r="Z33" i="95" s="1"/>
  <c r="P33" i="95"/>
  <c r="H33" i="95"/>
  <c r="N33" i="95" s="1"/>
  <c r="D33" i="95"/>
  <c r="T29" i="95"/>
  <c r="Z29" i="95" s="1"/>
  <c r="P29" i="95"/>
  <c r="H29" i="95"/>
  <c r="N29" i="95" s="1"/>
  <c r="D29" i="95"/>
  <c r="T25" i="95"/>
  <c r="Z25" i="95" s="1"/>
  <c r="P25" i="95"/>
  <c r="H25" i="95"/>
  <c r="N25" i="95" s="1"/>
  <c r="D25" i="95"/>
  <c r="B25" i="95"/>
  <c r="T24" i="95"/>
  <c r="Z24" i="95" s="1"/>
  <c r="P24" i="95"/>
  <c r="H24" i="95"/>
  <c r="N24" i="95" s="1"/>
  <c r="D24" i="95"/>
  <c r="T22" i="95"/>
  <c r="Z22" i="95" s="1"/>
  <c r="P22" i="95"/>
  <c r="H22" i="95"/>
  <c r="N22" i="95" s="1"/>
  <c r="D22" i="95"/>
  <c r="B22" i="95"/>
  <c r="T21" i="95"/>
  <c r="Z21" i="95" s="1"/>
  <c r="P21" i="95"/>
  <c r="H21" i="95"/>
  <c r="N21" i="95" s="1"/>
  <c r="D21" i="95"/>
  <c r="L21" i="95" s="1"/>
  <c r="B21" i="95"/>
  <c r="T20" i="95"/>
  <c r="Z20" i="95" s="1"/>
  <c r="P20" i="95"/>
  <c r="H20" i="95"/>
  <c r="D20" i="95"/>
  <c r="T16" i="95"/>
  <c r="Z16" i="95" s="1"/>
  <c r="P16" i="95"/>
  <c r="H16" i="95"/>
  <c r="N16" i="95" s="1"/>
  <c r="D16" i="95"/>
  <c r="B16" i="95"/>
  <c r="T15" i="95"/>
  <c r="Z15" i="95" s="1"/>
  <c r="P15" i="95"/>
  <c r="H15" i="95"/>
  <c r="N15" i="95" s="1"/>
  <c r="D15" i="95"/>
  <c r="T13" i="95"/>
  <c r="Z13" i="95" s="1"/>
  <c r="P13" i="95"/>
  <c r="H13" i="95"/>
  <c r="N13" i="95" s="1"/>
  <c r="D13" i="95"/>
  <c r="B13" i="95"/>
  <c r="T12" i="95"/>
  <c r="P12" i="95"/>
  <c r="R25" i="95" s="1"/>
  <c r="H12" i="95"/>
  <c r="J21" i="95" s="1"/>
  <c r="D12" i="95"/>
  <c r="F16" i="95" s="1"/>
  <c r="D6" i="95"/>
  <c r="D5" i="95"/>
  <c r="D4" i="95"/>
  <c r="B39" i="94"/>
  <c r="B38" i="94"/>
  <c r="T34" i="94"/>
  <c r="Z34" i="94" s="1"/>
  <c r="P34" i="94"/>
  <c r="H34" i="94"/>
  <c r="N34" i="94" s="1"/>
  <c r="D34" i="94"/>
  <c r="T33" i="94"/>
  <c r="P33" i="94"/>
  <c r="H33" i="94"/>
  <c r="N33" i="94" s="1"/>
  <c r="D33" i="94"/>
  <c r="T29" i="94"/>
  <c r="P29" i="94"/>
  <c r="H29" i="94"/>
  <c r="N29" i="94" s="1"/>
  <c r="D29" i="94"/>
  <c r="T25" i="94"/>
  <c r="P25" i="94"/>
  <c r="H25" i="94"/>
  <c r="N25" i="94" s="1"/>
  <c r="D25" i="94"/>
  <c r="B25" i="94"/>
  <c r="T24" i="94"/>
  <c r="Z24" i="94" s="1"/>
  <c r="P24" i="94"/>
  <c r="H24" i="94"/>
  <c r="N24" i="94" s="1"/>
  <c r="D24" i="94"/>
  <c r="T22" i="94"/>
  <c r="Z22" i="94" s="1"/>
  <c r="P22" i="94"/>
  <c r="H22" i="94"/>
  <c r="N22" i="94" s="1"/>
  <c r="D22" i="94"/>
  <c r="B22" i="94"/>
  <c r="T21" i="94"/>
  <c r="Z21" i="94" s="1"/>
  <c r="P21" i="94"/>
  <c r="H21" i="94"/>
  <c r="N21" i="94" s="1"/>
  <c r="D21" i="94"/>
  <c r="B21" i="94"/>
  <c r="T20" i="94"/>
  <c r="P20" i="94"/>
  <c r="H20" i="94"/>
  <c r="N20" i="94" s="1"/>
  <c r="D20" i="94"/>
  <c r="T16" i="94"/>
  <c r="P16" i="94"/>
  <c r="H16" i="94"/>
  <c r="N16" i="94" s="1"/>
  <c r="D16" i="94"/>
  <c r="B16" i="94"/>
  <c r="T15" i="94"/>
  <c r="P15" i="94"/>
  <c r="H15" i="94"/>
  <c r="N15" i="94" s="1"/>
  <c r="D15" i="94"/>
  <c r="T13" i="94"/>
  <c r="Z13" i="94" s="1"/>
  <c r="P13" i="94"/>
  <c r="H13" i="94"/>
  <c r="N13" i="94" s="1"/>
  <c r="D13" i="94"/>
  <c r="B13" i="94"/>
  <c r="T12" i="94"/>
  <c r="V20" i="94" s="1"/>
  <c r="P12" i="94"/>
  <c r="R36" i="94" s="1"/>
  <c r="H12" i="94"/>
  <c r="J16" i="94" s="1"/>
  <c r="D12" i="94"/>
  <c r="D6" i="94"/>
  <c r="D5" i="94"/>
  <c r="D4" i="94"/>
  <c r="B39" i="93"/>
  <c r="B38" i="93"/>
  <c r="T34" i="93"/>
  <c r="Z34" i="93" s="1"/>
  <c r="P34" i="93"/>
  <c r="H34" i="93"/>
  <c r="N34" i="93" s="1"/>
  <c r="D34" i="93"/>
  <c r="T33" i="93"/>
  <c r="Z33" i="93" s="1"/>
  <c r="P33" i="93"/>
  <c r="H33" i="93"/>
  <c r="D33" i="93"/>
  <c r="T29" i="93"/>
  <c r="Z29" i="93" s="1"/>
  <c r="P29" i="93"/>
  <c r="H29" i="93"/>
  <c r="D29" i="93"/>
  <c r="T25" i="93"/>
  <c r="Z25" i="93" s="1"/>
  <c r="P25" i="93"/>
  <c r="H25" i="93"/>
  <c r="D25" i="93"/>
  <c r="B25" i="93"/>
  <c r="T24" i="93"/>
  <c r="Z24" i="93" s="1"/>
  <c r="P24" i="93"/>
  <c r="H24" i="93"/>
  <c r="N24" i="93" s="1"/>
  <c r="D24" i="93"/>
  <c r="T22" i="93"/>
  <c r="Z22" i="93" s="1"/>
  <c r="P22" i="93"/>
  <c r="H22" i="93"/>
  <c r="N22" i="93" s="1"/>
  <c r="D22" i="93"/>
  <c r="B22" i="93"/>
  <c r="T21" i="93"/>
  <c r="P21" i="93"/>
  <c r="H21" i="93"/>
  <c r="N21" i="93" s="1"/>
  <c r="D21" i="93"/>
  <c r="B21" i="93"/>
  <c r="T20" i="93"/>
  <c r="Z20" i="93" s="1"/>
  <c r="P20" i="93"/>
  <c r="H20" i="93"/>
  <c r="D20" i="93"/>
  <c r="T16" i="93"/>
  <c r="Z16" i="93" s="1"/>
  <c r="P16" i="93"/>
  <c r="H16" i="93"/>
  <c r="N16" i="93" s="1"/>
  <c r="D16" i="93"/>
  <c r="B16" i="93"/>
  <c r="T15" i="93"/>
  <c r="P15" i="93"/>
  <c r="H15" i="93"/>
  <c r="D15" i="93"/>
  <c r="T13" i="93"/>
  <c r="Z13" i="93" s="1"/>
  <c r="P13" i="93"/>
  <c r="H13" i="93"/>
  <c r="N13" i="93" s="1"/>
  <c r="D13" i="93"/>
  <c r="B13" i="93"/>
  <c r="T12" i="93"/>
  <c r="V36" i="93" s="1"/>
  <c r="P12" i="93"/>
  <c r="R27" i="93" s="1"/>
  <c r="H12" i="93"/>
  <c r="J36" i="93" s="1"/>
  <c r="D12" i="93"/>
  <c r="F36" i="93" s="1"/>
  <c r="D6" i="93"/>
  <c r="D5" i="93"/>
  <c r="D4" i="93"/>
  <c r="X77" i="92"/>
  <c r="Z77" i="92" s="1"/>
  <c r="N77" i="92"/>
  <c r="L77" i="92"/>
  <c r="P73" i="92"/>
  <c r="D73" i="92"/>
  <c r="L73" i="92" s="1"/>
  <c r="N73" i="92" s="1"/>
  <c r="B73" i="92"/>
  <c r="T72" i="92"/>
  <c r="H72" i="92"/>
  <c r="D72" i="92"/>
  <c r="Z70" i="92"/>
  <c r="X70" i="92"/>
  <c r="N70" i="92"/>
  <c r="L70" i="92"/>
  <c r="B70" i="92"/>
  <c r="Z69" i="92"/>
  <c r="T69" i="92"/>
  <c r="P69" i="92"/>
  <c r="L69" i="92"/>
  <c r="H69" i="92"/>
  <c r="N69" i="92" s="1"/>
  <c r="D69" i="92"/>
  <c r="B69" i="92"/>
  <c r="Z68" i="92"/>
  <c r="X68" i="92"/>
  <c r="N68" i="92"/>
  <c r="L68" i="92"/>
  <c r="B68" i="92"/>
  <c r="T67" i="92"/>
  <c r="P67" i="92"/>
  <c r="L67" i="92"/>
  <c r="N67" i="92" s="1"/>
  <c r="H67" i="92"/>
  <c r="D67" i="92"/>
  <c r="B67" i="92"/>
  <c r="Z66" i="92"/>
  <c r="X66" i="92"/>
  <c r="N66" i="92"/>
  <c r="L66" i="92"/>
  <c r="B66" i="92"/>
  <c r="Z65" i="92"/>
  <c r="X65" i="92"/>
  <c r="N65" i="92"/>
  <c r="L65" i="92"/>
  <c r="B65" i="92"/>
  <c r="Z64" i="92"/>
  <c r="X64" i="92"/>
  <c r="L64" i="92"/>
  <c r="N64" i="92" s="1"/>
  <c r="B64" i="92"/>
  <c r="T63" i="92"/>
  <c r="P63" i="92"/>
  <c r="X63" i="92" s="1"/>
  <c r="L63" i="92"/>
  <c r="N63" i="92" s="1"/>
  <c r="H63" i="92"/>
  <c r="D63" i="92"/>
  <c r="B63" i="92"/>
  <c r="X62" i="92"/>
  <c r="Z62" i="92" s="1"/>
  <c r="L62" i="92"/>
  <c r="N62" i="92" s="1"/>
  <c r="B62" i="92"/>
  <c r="X61" i="92"/>
  <c r="Z61" i="92" s="1"/>
  <c r="T61" i="92"/>
  <c r="P61" i="92"/>
  <c r="H61" i="92"/>
  <c r="D61" i="92"/>
  <c r="B61" i="92"/>
  <c r="Z60" i="92"/>
  <c r="X60" i="92"/>
  <c r="R60" i="92"/>
  <c r="N60" i="92"/>
  <c r="L60" i="92"/>
  <c r="B60" i="92"/>
  <c r="X59" i="92"/>
  <c r="Z59" i="92" s="1"/>
  <c r="R59" i="92"/>
  <c r="L59" i="92"/>
  <c r="N59" i="92" s="1"/>
  <c r="J59" i="92"/>
  <c r="B59" i="92"/>
  <c r="X58" i="92"/>
  <c r="Z58" i="92" s="1"/>
  <c r="N58" i="92"/>
  <c r="L58" i="92"/>
  <c r="B58" i="92"/>
  <c r="X57" i="92"/>
  <c r="Z57" i="92" s="1"/>
  <c r="T57" i="92"/>
  <c r="P57" i="92"/>
  <c r="H57" i="92"/>
  <c r="D57" i="92"/>
  <c r="B57" i="92"/>
  <c r="Z56" i="92"/>
  <c r="X56" i="92"/>
  <c r="N56" i="92"/>
  <c r="L56" i="92"/>
  <c r="B56" i="92"/>
  <c r="V55" i="92"/>
  <c r="T55" i="92"/>
  <c r="P55" i="92"/>
  <c r="H55" i="92"/>
  <c r="D55" i="92"/>
  <c r="L55" i="92" s="1"/>
  <c r="N55" i="92" s="1"/>
  <c r="B55" i="92"/>
  <c r="X54" i="92"/>
  <c r="Z54" i="92" s="1"/>
  <c r="L54" i="92"/>
  <c r="N54" i="92" s="1"/>
  <c r="B54" i="92"/>
  <c r="T53" i="92"/>
  <c r="P53" i="92"/>
  <c r="X53" i="92" s="1"/>
  <c r="Z53" i="92" s="1"/>
  <c r="H53" i="92"/>
  <c r="D53" i="92"/>
  <c r="L53" i="92" s="1"/>
  <c r="B53" i="92"/>
  <c r="Z52" i="92"/>
  <c r="X52" i="92"/>
  <c r="N52" i="92"/>
  <c r="L52" i="92"/>
  <c r="B52" i="92"/>
  <c r="T51" i="92"/>
  <c r="P51" i="92"/>
  <c r="H51" i="92"/>
  <c r="D51" i="92"/>
  <c r="L51" i="92" s="1"/>
  <c r="N51" i="92" s="1"/>
  <c r="B51" i="92"/>
  <c r="X50" i="92"/>
  <c r="Z50" i="92" s="1"/>
  <c r="L50" i="92"/>
  <c r="N50" i="92" s="1"/>
  <c r="B50" i="92"/>
  <c r="Z49" i="92"/>
  <c r="X49" i="92"/>
  <c r="N49" i="92"/>
  <c r="L49" i="92"/>
  <c r="B49" i="92"/>
  <c r="T48" i="92"/>
  <c r="R48" i="92"/>
  <c r="P48" i="92"/>
  <c r="L48" i="92"/>
  <c r="N48" i="92" s="1"/>
  <c r="H48" i="92"/>
  <c r="D48" i="92"/>
  <c r="B48" i="92"/>
  <c r="X47" i="92"/>
  <c r="Z47" i="92" s="1"/>
  <c r="V47" i="92"/>
  <c r="R47" i="92"/>
  <c r="L47" i="92"/>
  <c r="N47" i="92" s="1"/>
  <c r="B47" i="92"/>
  <c r="V46" i="92"/>
  <c r="T46" i="92"/>
  <c r="P46" i="92"/>
  <c r="X46" i="92" s="1"/>
  <c r="Z46" i="92" s="1"/>
  <c r="L46" i="92"/>
  <c r="H46" i="92"/>
  <c r="N46" i="92" s="1"/>
  <c r="D46" i="92"/>
  <c r="B46" i="92"/>
  <c r="Z45" i="92"/>
  <c r="X45" i="92"/>
  <c r="L45" i="92"/>
  <c r="N45" i="92" s="1"/>
  <c r="B45" i="92"/>
  <c r="Z44" i="92"/>
  <c r="X44" i="92"/>
  <c r="T44" i="92"/>
  <c r="P44" i="92"/>
  <c r="H44" i="92"/>
  <c r="D44" i="92"/>
  <c r="B44" i="92"/>
  <c r="X43" i="92"/>
  <c r="Z43" i="92" s="1"/>
  <c r="R43" i="92"/>
  <c r="N43" i="92"/>
  <c r="L43" i="92"/>
  <c r="J43" i="92"/>
  <c r="B43" i="92"/>
  <c r="V42" i="92"/>
  <c r="T42" i="92"/>
  <c r="P42" i="92"/>
  <c r="H42" i="92"/>
  <c r="D42" i="92"/>
  <c r="L42" i="92" s="1"/>
  <c r="B42" i="92"/>
  <c r="Z41" i="92"/>
  <c r="X41" i="92"/>
  <c r="N41" i="92"/>
  <c r="L41" i="92"/>
  <c r="J41" i="92"/>
  <c r="B41" i="92"/>
  <c r="Z40" i="92"/>
  <c r="X40" i="92"/>
  <c r="N40" i="92"/>
  <c r="L40" i="92"/>
  <c r="B40" i="92"/>
  <c r="Z39" i="92"/>
  <c r="X39" i="92"/>
  <c r="R39" i="92"/>
  <c r="N39" i="92"/>
  <c r="L39" i="92"/>
  <c r="B39" i="92"/>
  <c r="X38" i="92"/>
  <c r="Z38" i="92" s="1"/>
  <c r="V38" i="92"/>
  <c r="R38" i="92"/>
  <c r="N38" i="92"/>
  <c r="L38" i="92"/>
  <c r="B38" i="92"/>
  <c r="Z37" i="92"/>
  <c r="X37" i="92"/>
  <c r="V37" i="92"/>
  <c r="R37" i="92"/>
  <c r="N37" i="92"/>
  <c r="L37" i="92"/>
  <c r="B37" i="92"/>
  <c r="Z36" i="92"/>
  <c r="X36" i="92"/>
  <c r="V36" i="92"/>
  <c r="R36" i="92"/>
  <c r="N36" i="92"/>
  <c r="L36" i="92"/>
  <c r="B36" i="92"/>
  <c r="X35" i="92"/>
  <c r="Z35" i="92" s="1"/>
  <c r="V35" i="92"/>
  <c r="N35" i="92"/>
  <c r="L35" i="92"/>
  <c r="B35" i="92"/>
  <c r="Z34" i="92"/>
  <c r="X34" i="92"/>
  <c r="R34" i="92"/>
  <c r="N34" i="92"/>
  <c r="L34" i="92"/>
  <c r="B34" i="92"/>
  <c r="Z33" i="92"/>
  <c r="X33" i="92"/>
  <c r="L33" i="92"/>
  <c r="N33" i="92" s="1"/>
  <c r="B33" i="92"/>
  <c r="X32" i="92"/>
  <c r="Z32" i="92" s="1"/>
  <c r="L32" i="92"/>
  <c r="N32" i="92" s="1"/>
  <c r="B32" i="92"/>
  <c r="T31" i="92"/>
  <c r="P31" i="92"/>
  <c r="N31" i="92"/>
  <c r="H31" i="92"/>
  <c r="D31" i="92"/>
  <c r="L31" i="92" s="1"/>
  <c r="B31" i="92"/>
  <c r="Z30" i="92"/>
  <c r="X30" i="92"/>
  <c r="R30" i="92"/>
  <c r="N30" i="92"/>
  <c r="L30" i="92"/>
  <c r="B30" i="92"/>
  <c r="Z29" i="92"/>
  <c r="X29" i="92"/>
  <c r="V29" i="92"/>
  <c r="L29" i="92"/>
  <c r="N29" i="92" s="1"/>
  <c r="J29" i="92"/>
  <c r="B29" i="92"/>
  <c r="X28" i="92"/>
  <c r="Z28" i="92" s="1"/>
  <c r="L28" i="92"/>
  <c r="N28" i="92" s="1"/>
  <c r="B28" i="92"/>
  <c r="Z27" i="92"/>
  <c r="X27" i="92"/>
  <c r="R27" i="92"/>
  <c r="N27" i="92"/>
  <c r="L27" i="92"/>
  <c r="B27" i="92"/>
  <c r="Z26" i="92"/>
  <c r="X26" i="92"/>
  <c r="V26" i="92"/>
  <c r="R26" i="92"/>
  <c r="N26" i="92"/>
  <c r="L26" i="92"/>
  <c r="B26" i="92"/>
  <c r="X25" i="92"/>
  <c r="Z25" i="92" s="1"/>
  <c r="V25" i="92"/>
  <c r="R25" i="92"/>
  <c r="N25" i="92"/>
  <c r="L25" i="92"/>
  <c r="B25" i="92"/>
  <c r="Z24" i="92"/>
  <c r="X24" i="92"/>
  <c r="V24" i="92"/>
  <c r="R24" i="92"/>
  <c r="L24" i="92"/>
  <c r="N24" i="92" s="1"/>
  <c r="B24" i="92"/>
  <c r="Z23" i="92"/>
  <c r="X23" i="92"/>
  <c r="V23" i="92"/>
  <c r="N23" i="92"/>
  <c r="L23" i="92"/>
  <c r="B23" i="92"/>
  <c r="Z22" i="92"/>
  <c r="X22" i="92"/>
  <c r="R22" i="92"/>
  <c r="L22" i="92"/>
  <c r="N22" i="92" s="1"/>
  <c r="B22" i="92"/>
  <c r="Z21" i="92"/>
  <c r="X21" i="92"/>
  <c r="V21" i="92"/>
  <c r="L21" i="92"/>
  <c r="N21" i="92" s="1"/>
  <c r="B21" i="92"/>
  <c r="T20" i="92"/>
  <c r="Z20" i="92" s="1"/>
  <c r="R20" i="92"/>
  <c r="P20" i="92"/>
  <c r="X20" i="92" s="1"/>
  <c r="N20" i="92"/>
  <c r="L20" i="92"/>
  <c r="H20" i="92"/>
  <c r="D20" i="92"/>
  <c r="B20" i="92"/>
  <c r="Z19" i="92"/>
  <c r="X19" i="92"/>
  <c r="V19" i="92"/>
  <c r="T19" i="92"/>
  <c r="R19" i="92"/>
  <c r="P19" i="92"/>
  <c r="H19" i="92"/>
  <c r="D19" i="92"/>
  <c r="T17" i="92"/>
  <c r="P17" i="92"/>
  <c r="Z15" i="92"/>
  <c r="X15" i="92"/>
  <c r="V15" i="92"/>
  <c r="T15" i="92"/>
  <c r="R15" i="92"/>
  <c r="P15" i="92"/>
  <c r="H15" i="92"/>
  <c r="D15" i="92"/>
  <c r="Z13" i="92"/>
  <c r="X13" i="92"/>
  <c r="P13" i="92"/>
  <c r="L13" i="92"/>
  <c r="N13" i="92" s="1"/>
  <c r="D13" i="92"/>
  <c r="B13" i="92"/>
  <c r="X12" i="92"/>
  <c r="Z12" i="92" s="1"/>
  <c r="T12" i="92"/>
  <c r="V59" i="92" s="1"/>
  <c r="P12" i="92"/>
  <c r="H12" i="92"/>
  <c r="D12" i="92"/>
  <c r="D6" i="92"/>
  <c r="D4" i="92"/>
  <c r="Z94" i="91"/>
  <c r="X94" i="91"/>
  <c r="V94" i="91"/>
  <c r="L94" i="91"/>
  <c r="N94" i="91" s="1"/>
  <c r="V92" i="91"/>
  <c r="Z90" i="91"/>
  <c r="X90" i="91"/>
  <c r="T90" i="91"/>
  <c r="P90" i="91"/>
  <c r="N90" i="91"/>
  <c r="L90" i="91"/>
  <c r="H90" i="91"/>
  <c r="D90" i="91"/>
  <c r="Z88" i="91"/>
  <c r="X88" i="91"/>
  <c r="N88" i="91"/>
  <c r="L88" i="91"/>
  <c r="B88" i="91"/>
  <c r="X87" i="91"/>
  <c r="T87" i="91"/>
  <c r="Z87" i="91" s="1"/>
  <c r="P87" i="91"/>
  <c r="H87" i="91"/>
  <c r="N87" i="91" s="1"/>
  <c r="D87" i="91"/>
  <c r="B87" i="91"/>
  <c r="X86" i="91"/>
  <c r="Z86" i="91" s="1"/>
  <c r="N86" i="91"/>
  <c r="L86" i="91"/>
  <c r="B86" i="91"/>
  <c r="Z85" i="91"/>
  <c r="T85" i="91"/>
  <c r="P85" i="91"/>
  <c r="X85" i="91" s="1"/>
  <c r="H85" i="91"/>
  <c r="D85" i="91"/>
  <c r="L85" i="91" s="1"/>
  <c r="N85" i="91" s="1"/>
  <c r="B85" i="91"/>
  <c r="X84" i="91"/>
  <c r="Z84" i="91" s="1"/>
  <c r="N84" i="91"/>
  <c r="L84" i="91"/>
  <c r="J84" i="91"/>
  <c r="B84" i="91"/>
  <c r="T83" i="91"/>
  <c r="P83" i="91"/>
  <c r="X83" i="91" s="1"/>
  <c r="Z83" i="91" s="1"/>
  <c r="L83" i="91"/>
  <c r="N83" i="91" s="1"/>
  <c r="J83" i="91"/>
  <c r="H83" i="91"/>
  <c r="D83" i="91"/>
  <c r="B83" i="91"/>
  <c r="Z82" i="91"/>
  <c r="X82" i="91"/>
  <c r="V82" i="91"/>
  <c r="L82" i="91"/>
  <c r="N82" i="91" s="1"/>
  <c r="B82" i="91"/>
  <c r="Z81" i="91"/>
  <c r="X81" i="91"/>
  <c r="V81" i="91"/>
  <c r="N81" i="91"/>
  <c r="L81" i="91"/>
  <c r="B81" i="91"/>
  <c r="X80" i="91"/>
  <c r="Z80" i="91" s="1"/>
  <c r="N80" i="91"/>
  <c r="L80" i="91"/>
  <c r="J80" i="91"/>
  <c r="B80" i="91"/>
  <c r="Z79" i="91"/>
  <c r="X79" i="91"/>
  <c r="V79" i="91"/>
  <c r="L79" i="91"/>
  <c r="N79" i="91" s="1"/>
  <c r="B79" i="91"/>
  <c r="X78" i="91"/>
  <c r="Z78" i="91" s="1"/>
  <c r="L78" i="91"/>
  <c r="N78" i="91" s="1"/>
  <c r="J78" i="91"/>
  <c r="B78" i="91"/>
  <c r="Z77" i="91"/>
  <c r="X77" i="91"/>
  <c r="L77" i="91"/>
  <c r="N77" i="91" s="1"/>
  <c r="J77" i="91"/>
  <c r="B77" i="91"/>
  <c r="Z76" i="91"/>
  <c r="X76" i="91"/>
  <c r="V76" i="91"/>
  <c r="L76" i="91"/>
  <c r="N76" i="91" s="1"/>
  <c r="B76" i="91"/>
  <c r="V75" i="91"/>
  <c r="T75" i="91"/>
  <c r="P75" i="91"/>
  <c r="H75" i="91"/>
  <c r="D75" i="91"/>
  <c r="B75" i="91"/>
  <c r="X74" i="91"/>
  <c r="Z74" i="91" s="1"/>
  <c r="N74" i="91"/>
  <c r="L74" i="91"/>
  <c r="B74" i="91"/>
  <c r="Z73" i="91"/>
  <c r="X73" i="91"/>
  <c r="N73" i="91"/>
  <c r="L73" i="91"/>
  <c r="B73" i="91"/>
  <c r="Z72" i="91"/>
  <c r="X72" i="91"/>
  <c r="V72" i="91"/>
  <c r="N72" i="91"/>
  <c r="L72" i="91"/>
  <c r="B72" i="91"/>
  <c r="X71" i="91"/>
  <c r="Z71" i="91" s="1"/>
  <c r="N71" i="91"/>
  <c r="L71" i="91"/>
  <c r="B71" i="91"/>
  <c r="Z70" i="91"/>
  <c r="X70" i="91"/>
  <c r="T70" i="91"/>
  <c r="P70" i="91"/>
  <c r="J70" i="91"/>
  <c r="H70" i="91"/>
  <c r="D70" i="91"/>
  <c r="L70" i="91" s="1"/>
  <c r="B70" i="91"/>
  <c r="Z69" i="91"/>
  <c r="X69" i="91"/>
  <c r="N69" i="91"/>
  <c r="L69" i="91"/>
  <c r="B69" i="91"/>
  <c r="Z68" i="91"/>
  <c r="X68" i="91"/>
  <c r="V68" i="91"/>
  <c r="N68" i="91"/>
  <c r="L68" i="91"/>
  <c r="B68" i="91"/>
  <c r="Z67" i="91"/>
  <c r="X67" i="91"/>
  <c r="V67" i="91"/>
  <c r="N67" i="91"/>
  <c r="L67" i="91"/>
  <c r="B67" i="91"/>
  <c r="T66" i="91"/>
  <c r="P66" i="91"/>
  <c r="X66" i="91" s="1"/>
  <c r="H66" i="91"/>
  <c r="D66" i="91"/>
  <c r="L66" i="91" s="1"/>
  <c r="B66" i="91"/>
  <c r="Z65" i="91"/>
  <c r="X65" i="91"/>
  <c r="L65" i="91"/>
  <c r="N65" i="91" s="1"/>
  <c r="J65" i="91"/>
  <c r="B65" i="91"/>
  <c r="T64" i="91"/>
  <c r="P64" i="91"/>
  <c r="X64" i="91" s="1"/>
  <c r="H64" i="91"/>
  <c r="D64" i="91"/>
  <c r="L64" i="91" s="1"/>
  <c r="N64" i="91" s="1"/>
  <c r="B64" i="91"/>
  <c r="Z63" i="91"/>
  <c r="X63" i="91"/>
  <c r="V63" i="91"/>
  <c r="L63" i="91"/>
  <c r="N63" i="91" s="1"/>
  <c r="B63" i="91"/>
  <c r="T62" i="91"/>
  <c r="P62" i="91"/>
  <c r="X62" i="91" s="1"/>
  <c r="Z62" i="91" s="1"/>
  <c r="H62" i="91"/>
  <c r="D62" i="91"/>
  <c r="B62" i="91"/>
  <c r="X61" i="91"/>
  <c r="Z61" i="91" s="1"/>
  <c r="V61" i="91"/>
  <c r="N61" i="91"/>
  <c r="L61" i="91"/>
  <c r="B61" i="91"/>
  <c r="X60" i="91"/>
  <c r="T60" i="91"/>
  <c r="P60" i="91"/>
  <c r="J60" i="91"/>
  <c r="H60" i="91"/>
  <c r="D60" i="91"/>
  <c r="B60" i="91"/>
  <c r="X59" i="91"/>
  <c r="Z59" i="91" s="1"/>
  <c r="V59" i="91"/>
  <c r="N59" i="91"/>
  <c r="L59" i="91"/>
  <c r="J59" i="91"/>
  <c r="B59" i="91"/>
  <c r="Z58" i="91"/>
  <c r="X58" i="91"/>
  <c r="V58" i="91"/>
  <c r="T58" i="91"/>
  <c r="P58" i="91"/>
  <c r="H58" i="91"/>
  <c r="D58" i="91"/>
  <c r="B58" i="91"/>
  <c r="Z57" i="91"/>
  <c r="X57" i="91"/>
  <c r="N57" i="91"/>
  <c r="L57" i="91"/>
  <c r="B57" i="91"/>
  <c r="V56" i="91"/>
  <c r="T56" i="91"/>
  <c r="P56" i="91"/>
  <c r="H56" i="91"/>
  <c r="D56" i="91"/>
  <c r="L56" i="91" s="1"/>
  <c r="N56" i="91" s="1"/>
  <c r="B56" i="91"/>
  <c r="Z55" i="91"/>
  <c r="X55" i="91"/>
  <c r="L55" i="91"/>
  <c r="N55" i="91" s="1"/>
  <c r="J55" i="91"/>
  <c r="B55" i="91"/>
  <c r="X54" i="91"/>
  <c r="Z54" i="91" s="1"/>
  <c r="T54" i="91"/>
  <c r="P54" i="91"/>
  <c r="L54" i="91"/>
  <c r="N54" i="91" s="1"/>
  <c r="H54" i="91"/>
  <c r="D54" i="91"/>
  <c r="B54" i="91"/>
  <c r="Z53" i="91"/>
  <c r="X53" i="91"/>
  <c r="N53" i="91"/>
  <c r="L53" i="91"/>
  <c r="B53" i="91"/>
  <c r="Z52" i="91"/>
  <c r="X52" i="91"/>
  <c r="T52" i="91"/>
  <c r="P52" i="91"/>
  <c r="H52" i="91"/>
  <c r="D52" i="91"/>
  <c r="L52" i="91" s="1"/>
  <c r="B52" i="91"/>
  <c r="X51" i="91"/>
  <c r="Z51" i="91" s="1"/>
  <c r="N51" i="91"/>
  <c r="L51" i="91"/>
  <c r="J51" i="91"/>
  <c r="B51" i="91"/>
  <c r="T50" i="91"/>
  <c r="P50" i="91"/>
  <c r="X50" i="91" s="1"/>
  <c r="H50" i="91"/>
  <c r="D50" i="91"/>
  <c r="L50" i="91" s="1"/>
  <c r="B50" i="91"/>
  <c r="Z49" i="91"/>
  <c r="X49" i="91"/>
  <c r="L49" i="91"/>
  <c r="N49" i="91" s="1"/>
  <c r="J49" i="91"/>
  <c r="B49" i="91"/>
  <c r="T48" i="91"/>
  <c r="P48" i="91"/>
  <c r="X48" i="91" s="1"/>
  <c r="H48" i="91"/>
  <c r="D48" i="91"/>
  <c r="L48" i="91" s="1"/>
  <c r="B48" i="91"/>
  <c r="Z47" i="91"/>
  <c r="X47" i="91"/>
  <c r="V47" i="91"/>
  <c r="N47" i="91"/>
  <c r="L47" i="91"/>
  <c r="J47" i="91"/>
  <c r="B47" i="91"/>
  <c r="Z46" i="91"/>
  <c r="X46" i="91"/>
  <c r="N46" i="91"/>
  <c r="L46" i="91"/>
  <c r="J46" i="91"/>
  <c r="B46" i="91"/>
  <c r="Z45" i="91"/>
  <c r="X45" i="91"/>
  <c r="N45" i="91"/>
  <c r="L45" i="91"/>
  <c r="J45" i="91"/>
  <c r="B45" i="91"/>
  <c r="X44" i="91"/>
  <c r="Z44" i="91" s="1"/>
  <c r="N44" i="91"/>
  <c r="L44" i="91"/>
  <c r="B44" i="91"/>
  <c r="Z43" i="91"/>
  <c r="X43" i="91"/>
  <c r="N43" i="91"/>
  <c r="L43" i="91"/>
  <c r="B43" i="91"/>
  <c r="X42" i="91"/>
  <c r="Z42" i="91" s="1"/>
  <c r="L42" i="91"/>
  <c r="N42" i="91" s="1"/>
  <c r="B42" i="91"/>
  <c r="X41" i="91"/>
  <c r="Z41" i="91" s="1"/>
  <c r="V41" i="91"/>
  <c r="N41" i="91"/>
  <c r="L41" i="91"/>
  <c r="B41" i="91"/>
  <c r="Z40" i="91"/>
  <c r="X40" i="91"/>
  <c r="N40" i="91"/>
  <c r="L40" i="91"/>
  <c r="B40" i="91"/>
  <c r="Z39" i="91"/>
  <c r="X39" i="91"/>
  <c r="V39" i="91"/>
  <c r="L39" i="91"/>
  <c r="N39" i="91" s="1"/>
  <c r="J39" i="91"/>
  <c r="B39" i="91"/>
  <c r="Z38" i="91"/>
  <c r="X38" i="91"/>
  <c r="N38" i="91"/>
  <c r="L38" i="91"/>
  <c r="J38" i="91"/>
  <c r="B38" i="91"/>
  <c r="T37" i="91"/>
  <c r="P37" i="91"/>
  <c r="N37" i="91"/>
  <c r="J37" i="91"/>
  <c r="H37" i="91"/>
  <c r="D37" i="91"/>
  <c r="L37" i="91" s="1"/>
  <c r="B37" i="91"/>
  <c r="X36" i="91"/>
  <c r="Z36" i="91" s="1"/>
  <c r="V36" i="91"/>
  <c r="L36" i="91"/>
  <c r="N36" i="91" s="1"/>
  <c r="J36" i="91"/>
  <c r="B36" i="91"/>
  <c r="X35" i="91"/>
  <c r="Z35" i="91" s="1"/>
  <c r="V35" i="91"/>
  <c r="L35" i="91"/>
  <c r="N35" i="91" s="1"/>
  <c r="J35" i="91"/>
  <c r="B35" i="91"/>
  <c r="Z34" i="91"/>
  <c r="X34" i="91"/>
  <c r="L34" i="91"/>
  <c r="N34" i="91" s="1"/>
  <c r="B34" i="91"/>
  <c r="Z33" i="91"/>
  <c r="X33" i="91"/>
  <c r="N33" i="91"/>
  <c r="L33" i="91"/>
  <c r="J33" i="91"/>
  <c r="B33" i="91"/>
  <c r="Z32" i="91"/>
  <c r="X32" i="91"/>
  <c r="V32" i="91"/>
  <c r="N32" i="91"/>
  <c r="L32" i="91"/>
  <c r="J32" i="91"/>
  <c r="B32" i="91"/>
  <c r="X31" i="91"/>
  <c r="Z31" i="91" s="1"/>
  <c r="V31" i="91"/>
  <c r="L31" i="91"/>
  <c r="N31" i="91" s="1"/>
  <c r="J31" i="91"/>
  <c r="B31" i="91"/>
  <c r="Z30" i="91"/>
  <c r="X30" i="91"/>
  <c r="N30" i="91"/>
  <c r="L30" i="91"/>
  <c r="B30" i="91"/>
  <c r="Z29" i="91"/>
  <c r="X29" i="91"/>
  <c r="V29" i="91"/>
  <c r="N29" i="91"/>
  <c r="L29" i="91"/>
  <c r="B29" i="91"/>
  <c r="X28" i="91"/>
  <c r="Z28" i="91" s="1"/>
  <c r="V28" i="91"/>
  <c r="L28" i="91"/>
  <c r="N28" i="91" s="1"/>
  <c r="J28" i="91"/>
  <c r="B28" i="91"/>
  <c r="X27" i="91"/>
  <c r="Z27" i="91" s="1"/>
  <c r="V27" i="91"/>
  <c r="L27" i="91"/>
  <c r="N27" i="91" s="1"/>
  <c r="J27" i="91"/>
  <c r="B27" i="91"/>
  <c r="T26" i="91"/>
  <c r="P26" i="91"/>
  <c r="X26" i="91" s="1"/>
  <c r="Z26" i="91" s="1"/>
  <c r="L26" i="91"/>
  <c r="H26" i="91"/>
  <c r="D26" i="91"/>
  <c r="B26" i="91"/>
  <c r="V25" i="91"/>
  <c r="T25" i="91"/>
  <c r="P25" i="91"/>
  <c r="J25" i="91"/>
  <c r="H25" i="91"/>
  <c r="D25" i="91"/>
  <c r="L25" i="91" s="1"/>
  <c r="N25" i="91" s="1"/>
  <c r="T23" i="91"/>
  <c r="T92" i="91" s="1"/>
  <c r="Z21" i="91"/>
  <c r="X21" i="91"/>
  <c r="V21" i="91"/>
  <c r="N21" i="91"/>
  <c r="L21" i="91"/>
  <c r="B21" i="91"/>
  <c r="Z20" i="91"/>
  <c r="X20" i="91"/>
  <c r="V20" i="91"/>
  <c r="N20" i="91"/>
  <c r="L20" i="91"/>
  <c r="J20" i="91"/>
  <c r="B20" i="91"/>
  <c r="X19" i="91"/>
  <c r="Z19" i="91" s="1"/>
  <c r="V19" i="91"/>
  <c r="L19" i="91"/>
  <c r="N19" i="91" s="1"/>
  <c r="J19" i="91"/>
  <c r="B19" i="91"/>
  <c r="X18" i="91"/>
  <c r="Z18" i="91" s="1"/>
  <c r="T18" i="91"/>
  <c r="P18" i="91"/>
  <c r="J18" i="91"/>
  <c r="H18" i="91"/>
  <c r="D18" i="91"/>
  <c r="Z16" i="91"/>
  <c r="X16" i="91"/>
  <c r="P16" i="91"/>
  <c r="N16" i="91"/>
  <c r="D16" i="91"/>
  <c r="L16" i="91" s="1"/>
  <c r="B16" i="91"/>
  <c r="Z15" i="91"/>
  <c r="X15" i="91"/>
  <c r="P15" i="91"/>
  <c r="N15" i="91"/>
  <c r="D15" i="91"/>
  <c r="L15" i="91" s="1"/>
  <c r="B15" i="91"/>
  <c r="P14" i="91"/>
  <c r="D14" i="91"/>
  <c r="B14" i="91"/>
  <c r="Z13" i="91"/>
  <c r="P13" i="91"/>
  <c r="X13" i="91" s="1"/>
  <c r="N13" i="91"/>
  <c r="L13" i="91"/>
  <c r="D13" i="91"/>
  <c r="B13" i="91"/>
  <c r="T12" i="91"/>
  <c r="H12" i="91"/>
  <c r="D6" i="91"/>
  <c r="D4" i="91"/>
  <c r="X91" i="90"/>
  <c r="Z91" i="90" s="1"/>
  <c r="V91" i="90"/>
  <c r="L91" i="90"/>
  <c r="N91" i="90" s="1"/>
  <c r="T87" i="90"/>
  <c r="P87" i="90"/>
  <c r="N87" i="90"/>
  <c r="L87" i="90"/>
  <c r="H87" i="90"/>
  <c r="D87" i="90"/>
  <c r="X85" i="90"/>
  <c r="Z85" i="90" s="1"/>
  <c r="L85" i="90"/>
  <c r="N85" i="90" s="1"/>
  <c r="J85" i="90"/>
  <c r="B85" i="90"/>
  <c r="T84" i="90"/>
  <c r="P84" i="90"/>
  <c r="X84" i="90" s="1"/>
  <c r="Z84" i="90" s="1"/>
  <c r="N84" i="90"/>
  <c r="H84" i="90"/>
  <c r="D84" i="90"/>
  <c r="L84" i="90" s="1"/>
  <c r="B84" i="90"/>
  <c r="X83" i="90"/>
  <c r="Z83" i="90" s="1"/>
  <c r="L83" i="90"/>
  <c r="N83" i="90" s="1"/>
  <c r="B83" i="90"/>
  <c r="T82" i="90"/>
  <c r="P82" i="90"/>
  <c r="X82" i="90" s="1"/>
  <c r="Z82" i="90" s="1"/>
  <c r="L82" i="90"/>
  <c r="N82" i="90" s="1"/>
  <c r="H82" i="90"/>
  <c r="D82" i="90"/>
  <c r="B82" i="90"/>
  <c r="X81" i="90"/>
  <c r="Z81" i="90" s="1"/>
  <c r="V81" i="90"/>
  <c r="L81" i="90"/>
  <c r="N81" i="90" s="1"/>
  <c r="B81" i="90"/>
  <c r="Z80" i="90"/>
  <c r="X80" i="90"/>
  <c r="N80" i="90"/>
  <c r="L80" i="90"/>
  <c r="B80" i="90"/>
  <c r="Z79" i="90"/>
  <c r="X79" i="90"/>
  <c r="L79" i="90"/>
  <c r="N79" i="90" s="1"/>
  <c r="B79" i="90"/>
  <c r="Z78" i="90"/>
  <c r="X78" i="90"/>
  <c r="N78" i="90"/>
  <c r="L78" i="90"/>
  <c r="B78" i="90"/>
  <c r="X77" i="90"/>
  <c r="Z77" i="90" s="1"/>
  <c r="L77" i="90"/>
  <c r="N77" i="90" s="1"/>
  <c r="J77" i="90"/>
  <c r="B77" i="90"/>
  <c r="X76" i="90"/>
  <c r="Z76" i="90" s="1"/>
  <c r="L76" i="90"/>
  <c r="N76" i="90" s="1"/>
  <c r="B76" i="90"/>
  <c r="Z75" i="90"/>
  <c r="X75" i="90"/>
  <c r="L75" i="90"/>
  <c r="N75" i="90" s="1"/>
  <c r="B75" i="90"/>
  <c r="T74" i="90"/>
  <c r="P74" i="90"/>
  <c r="X74" i="90" s="1"/>
  <c r="H74" i="90"/>
  <c r="D74" i="90"/>
  <c r="L74" i="90" s="1"/>
  <c r="B74" i="90"/>
  <c r="Z73" i="90"/>
  <c r="X73" i="90"/>
  <c r="L73" i="90"/>
  <c r="N73" i="90" s="1"/>
  <c r="B73" i="90"/>
  <c r="X72" i="90"/>
  <c r="Z72" i="90" s="1"/>
  <c r="V72" i="90"/>
  <c r="L72" i="90"/>
  <c r="N72" i="90" s="1"/>
  <c r="B72" i="90"/>
  <c r="Z71" i="90"/>
  <c r="X71" i="90"/>
  <c r="N71" i="90"/>
  <c r="L71" i="90"/>
  <c r="B71" i="90"/>
  <c r="Z70" i="90"/>
  <c r="X70" i="90"/>
  <c r="N70" i="90"/>
  <c r="L70" i="90"/>
  <c r="B70" i="90"/>
  <c r="T69" i="90"/>
  <c r="P69" i="90"/>
  <c r="H69" i="90"/>
  <c r="D69" i="90"/>
  <c r="L69" i="90" s="1"/>
  <c r="B69" i="90"/>
  <c r="Z68" i="90"/>
  <c r="X68" i="90"/>
  <c r="N68" i="90"/>
  <c r="L68" i="90"/>
  <c r="B68" i="90"/>
  <c r="Z67" i="90"/>
  <c r="X67" i="90"/>
  <c r="N67" i="90"/>
  <c r="L67" i="90"/>
  <c r="B67" i="90"/>
  <c r="V66" i="90"/>
  <c r="T66" i="90"/>
  <c r="P66" i="90"/>
  <c r="X66" i="90" s="1"/>
  <c r="L66" i="90"/>
  <c r="N66" i="90" s="1"/>
  <c r="H66" i="90"/>
  <c r="D66" i="90"/>
  <c r="B66" i="90"/>
  <c r="X65" i="90"/>
  <c r="Z65" i="90" s="1"/>
  <c r="L65" i="90"/>
  <c r="N65" i="90" s="1"/>
  <c r="B65" i="90"/>
  <c r="X64" i="90"/>
  <c r="Z64" i="90" s="1"/>
  <c r="T64" i="90"/>
  <c r="P64" i="90"/>
  <c r="H64" i="90"/>
  <c r="D64" i="90"/>
  <c r="B64" i="90"/>
  <c r="X63" i="90"/>
  <c r="Z63" i="90" s="1"/>
  <c r="N63" i="90"/>
  <c r="L63" i="90"/>
  <c r="B63" i="90"/>
  <c r="X62" i="90"/>
  <c r="Z62" i="90" s="1"/>
  <c r="T62" i="90"/>
  <c r="P62" i="90"/>
  <c r="H62" i="90"/>
  <c r="N62" i="90" s="1"/>
  <c r="D62" i="90"/>
  <c r="L62" i="90" s="1"/>
  <c r="B62" i="90"/>
  <c r="X61" i="90"/>
  <c r="Z61" i="90" s="1"/>
  <c r="N61" i="90"/>
  <c r="L61" i="90"/>
  <c r="B61" i="90"/>
  <c r="T60" i="90"/>
  <c r="P60" i="90"/>
  <c r="X60" i="90" s="1"/>
  <c r="Z60" i="90" s="1"/>
  <c r="J60" i="90"/>
  <c r="H60" i="90"/>
  <c r="N60" i="90" s="1"/>
  <c r="D60" i="90"/>
  <c r="L60" i="90" s="1"/>
  <c r="B60" i="90"/>
  <c r="Z59" i="90"/>
  <c r="X59" i="90"/>
  <c r="L59" i="90"/>
  <c r="N59" i="90" s="1"/>
  <c r="J59" i="90"/>
  <c r="B59" i="90"/>
  <c r="T58" i="90"/>
  <c r="P58" i="90"/>
  <c r="X58" i="90" s="1"/>
  <c r="L58" i="90"/>
  <c r="N58" i="90" s="1"/>
  <c r="H58" i="90"/>
  <c r="D58" i="90"/>
  <c r="B58" i="90"/>
  <c r="X57" i="90"/>
  <c r="Z57" i="90" s="1"/>
  <c r="V57" i="90"/>
  <c r="L57" i="90"/>
  <c r="N57" i="90" s="1"/>
  <c r="B57" i="90"/>
  <c r="X56" i="90"/>
  <c r="Z56" i="90" s="1"/>
  <c r="T56" i="90"/>
  <c r="P56" i="90"/>
  <c r="N56" i="90"/>
  <c r="L56" i="90"/>
  <c r="H56" i="90"/>
  <c r="D56" i="90"/>
  <c r="B56" i="90"/>
  <c r="X55" i="90"/>
  <c r="Z55" i="90" s="1"/>
  <c r="V55" i="90"/>
  <c r="N55" i="90"/>
  <c r="L55" i="90"/>
  <c r="B55" i="90"/>
  <c r="X54" i="90"/>
  <c r="T54" i="90"/>
  <c r="P54" i="90"/>
  <c r="H54" i="90"/>
  <c r="D54" i="90"/>
  <c r="L54" i="90" s="1"/>
  <c r="N54" i="90" s="1"/>
  <c r="B54" i="90"/>
  <c r="X53" i="90"/>
  <c r="Z53" i="90" s="1"/>
  <c r="N53" i="90"/>
  <c r="L53" i="90"/>
  <c r="B53" i="90"/>
  <c r="T52" i="90"/>
  <c r="P52" i="90"/>
  <c r="H52" i="90"/>
  <c r="D52" i="90"/>
  <c r="L52" i="90" s="1"/>
  <c r="B52" i="90"/>
  <c r="Z51" i="90"/>
  <c r="X51" i="90"/>
  <c r="L51" i="90"/>
  <c r="N51" i="90" s="1"/>
  <c r="B51" i="90"/>
  <c r="V50" i="90"/>
  <c r="T50" i="90"/>
  <c r="P50" i="90"/>
  <c r="X50" i="90" s="1"/>
  <c r="L50" i="90"/>
  <c r="N50" i="90" s="1"/>
  <c r="H50" i="90"/>
  <c r="D50" i="90"/>
  <c r="B50" i="90"/>
  <c r="X49" i="90"/>
  <c r="Z49" i="90" s="1"/>
  <c r="L49" i="90"/>
  <c r="N49" i="90" s="1"/>
  <c r="B49" i="90"/>
  <c r="X48" i="90"/>
  <c r="Z48" i="90" s="1"/>
  <c r="T48" i="90"/>
  <c r="P48" i="90"/>
  <c r="H48" i="90"/>
  <c r="D48" i="90"/>
  <c r="B48" i="90"/>
  <c r="Z47" i="90"/>
  <c r="X47" i="90"/>
  <c r="N47" i="90"/>
  <c r="L47" i="90"/>
  <c r="B47" i="90"/>
  <c r="Z46" i="90"/>
  <c r="X46" i="90"/>
  <c r="N46" i="90"/>
  <c r="L46" i="90"/>
  <c r="B46" i="90"/>
  <c r="Z45" i="90"/>
  <c r="X45" i="90"/>
  <c r="L45" i="90"/>
  <c r="N45" i="90" s="1"/>
  <c r="B45" i="90"/>
  <c r="X44" i="90"/>
  <c r="Z44" i="90" s="1"/>
  <c r="N44" i="90"/>
  <c r="L44" i="90"/>
  <c r="B44" i="90"/>
  <c r="Z43" i="90"/>
  <c r="X43" i="90"/>
  <c r="N43" i="90"/>
  <c r="L43" i="90"/>
  <c r="B43" i="90"/>
  <c r="X42" i="90"/>
  <c r="Z42" i="90" s="1"/>
  <c r="V42" i="90"/>
  <c r="L42" i="90"/>
  <c r="N42" i="90" s="1"/>
  <c r="B42" i="90"/>
  <c r="X41" i="90"/>
  <c r="Z41" i="90" s="1"/>
  <c r="L41" i="90"/>
  <c r="N41" i="90" s="1"/>
  <c r="B41" i="90"/>
  <c r="Z40" i="90"/>
  <c r="X40" i="90"/>
  <c r="V40" i="90"/>
  <c r="N40" i="90"/>
  <c r="L40" i="90"/>
  <c r="B40" i="90"/>
  <c r="X39" i="90"/>
  <c r="Z39" i="90" s="1"/>
  <c r="N39" i="90"/>
  <c r="L39" i="90"/>
  <c r="B39" i="90"/>
  <c r="Z38" i="90"/>
  <c r="X38" i="90"/>
  <c r="N38" i="90"/>
  <c r="L38" i="90"/>
  <c r="J38" i="90"/>
  <c r="B38" i="90"/>
  <c r="T37" i="90"/>
  <c r="P37" i="90"/>
  <c r="X37" i="90" s="1"/>
  <c r="Z37" i="90" s="1"/>
  <c r="L37" i="90"/>
  <c r="H37" i="90"/>
  <c r="D37" i="90"/>
  <c r="B37" i="90"/>
  <c r="Z36" i="90"/>
  <c r="X36" i="90"/>
  <c r="V36" i="90"/>
  <c r="L36" i="90"/>
  <c r="N36" i="90" s="1"/>
  <c r="B36" i="90"/>
  <c r="X35" i="90"/>
  <c r="Z35" i="90" s="1"/>
  <c r="N35" i="90"/>
  <c r="L35" i="90"/>
  <c r="B35" i="90"/>
  <c r="X34" i="90"/>
  <c r="Z34" i="90" s="1"/>
  <c r="L34" i="90"/>
  <c r="N34" i="90" s="1"/>
  <c r="B34" i="90"/>
  <c r="Z33" i="90"/>
  <c r="X33" i="90"/>
  <c r="N33" i="90"/>
  <c r="L33" i="90"/>
  <c r="B33" i="90"/>
  <c r="Z32" i="90"/>
  <c r="X32" i="90"/>
  <c r="N32" i="90"/>
  <c r="L32" i="90"/>
  <c r="B32" i="90"/>
  <c r="Z31" i="90"/>
  <c r="X31" i="90"/>
  <c r="L31" i="90"/>
  <c r="N31" i="90" s="1"/>
  <c r="B31" i="90"/>
  <c r="X30" i="90"/>
  <c r="Z30" i="90" s="1"/>
  <c r="V30" i="90"/>
  <c r="L30" i="90"/>
  <c r="N30" i="90" s="1"/>
  <c r="B30" i="90"/>
  <c r="X29" i="90"/>
  <c r="Z29" i="90" s="1"/>
  <c r="N29" i="90"/>
  <c r="L29" i="90"/>
  <c r="B29" i="90"/>
  <c r="Z28" i="90"/>
  <c r="X28" i="90"/>
  <c r="V28" i="90"/>
  <c r="N28" i="90"/>
  <c r="L28" i="90"/>
  <c r="B28" i="90"/>
  <c r="X27" i="90"/>
  <c r="Z27" i="90" s="1"/>
  <c r="N27" i="90"/>
  <c r="L27" i="90"/>
  <c r="B27" i="90"/>
  <c r="Z26" i="90"/>
  <c r="T26" i="90"/>
  <c r="X26" i="90" s="1"/>
  <c r="P26" i="90"/>
  <c r="J26" i="90"/>
  <c r="H26" i="90"/>
  <c r="D26" i="90"/>
  <c r="B26" i="90"/>
  <c r="T25" i="90"/>
  <c r="P25" i="90"/>
  <c r="X25" i="90" s="1"/>
  <c r="H25" i="90"/>
  <c r="D25" i="90"/>
  <c r="Z21" i="90"/>
  <c r="X21" i="90"/>
  <c r="N21" i="90"/>
  <c r="L21" i="90"/>
  <c r="J21" i="90"/>
  <c r="B21" i="90"/>
  <c r="Z20" i="90"/>
  <c r="X20" i="90"/>
  <c r="N20" i="90"/>
  <c r="L20" i="90"/>
  <c r="B20" i="90"/>
  <c r="X19" i="90"/>
  <c r="Z19" i="90" s="1"/>
  <c r="N19" i="90"/>
  <c r="L19" i="90"/>
  <c r="B19" i="90"/>
  <c r="X18" i="90"/>
  <c r="Z18" i="90" s="1"/>
  <c r="T18" i="90"/>
  <c r="P18" i="90"/>
  <c r="J18" i="90"/>
  <c r="H18" i="90"/>
  <c r="D18" i="90"/>
  <c r="Z16" i="90"/>
  <c r="P16" i="90"/>
  <c r="X16" i="90" s="1"/>
  <c r="N16" i="90"/>
  <c r="D16" i="90"/>
  <c r="L16" i="90" s="1"/>
  <c r="B16" i="90"/>
  <c r="Z15" i="90"/>
  <c r="P15" i="90"/>
  <c r="X15" i="90" s="1"/>
  <c r="N15" i="90"/>
  <c r="D15" i="90"/>
  <c r="L15" i="90" s="1"/>
  <c r="B15" i="90"/>
  <c r="X14" i="90"/>
  <c r="Z14" i="90" s="1"/>
  <c r="P14" i="90"/>
  <c r="L14" i="90"/>
  <c r="N14" i="90" s="1"/>
  <c r="D14" i="90"/>
  <c r="B14" i="90"/>
  <c r="Z13" i="90"/>
  <c r="P13" i="90"/>
  <c r="N13" i="90"/>
  <c r="D13" i="90"/>
  <c r="B13" i="90"/>
  <c r="T12" i="90"/>
  <c r="V85" i="90" s="1"/>
  <c r="H12" i="90"/>
  <c r="J48" i="90" s="1"/>
  <c r="D6" i="90"/>
  <c r="D4" i="90"/>
  <c r="X91" i="89"/>
  <c r="Z91" i="89" s="1"/>
  <c r="N91" i="89"/>
  <c r="L91" i="89"/>
  <c r="T87" i="89"/>
  <c r="Z87" i="89" s="1"/>
  <c r="P87" i="89"/>
  <c r="X87" i="89" s="1"/>
  <c r="H87" i="89"/>
  <c r="N87" i="89" s="1"/>
  <c r="D87" i="89"/>
  <c r="L87" i="89" s="1"/>
  <c r="X85" i="89"/>
  <c r="Z85" i="89" s="1"/>
  <c r="N85" i="89"/>
  <c r="L85" i="89"/>
  <c r="B85" i="89"/>
  <c r="T84" i="89"/>
  <c r="P84" i="89"/>
  <c r="L84" i="89"/>
  <c r="N84" i="89" s="1"/>
  <c r="H84" i="89"/>
  <c r="D84" i="89"/>
  <c r="B84" i="89"/>
  <c r="Z83" i="89"/>
  <c r="X83" i="89"/>
  <c r="L83" i="89"/>
  <c r="N83" i="89" s="1"/>
  <c r="B83" i="89"/>
  <c r="Z82" i="89"/>
  <c r="X82" i="89"/>
  <c r="N82" i="89"/>
  <c r="L82" i="89"/>
  <c r="B82" i="89"/>
  <c r="Z81" i="89"/>
  <c r="X81" i="89"/>
  <c r="N81" i="89"/>
  <c r="L81" i="89"/>
  <c r="B81" i="89"/>
  <c r="Z80" i="89"/>
  <c r="X80" i="89"/>
  <c r="L80" i="89"/>
  <c r="N80" i="89" s="1"/>
  <c r="B80" i="89"/>
  <c r="X79" i="89"/>
  <c r="Z79" i="89" s="1"/>
  <c r="N79" i="89"/>
  <c r="L79" i="89"/>
  <c r="B79" i="89"/>
  <c r="X78" i="89"/>
  <c r="Z78" i="89" s="1"/>
  <c r="L78" i="89"/>
  <c r="N78" i="89" s="1"/>
  <c r="B78" i="89"/>
  <c r="Z77" i="89"/>
  <c r="X77" i="89"/>
  <c r="L77" i="89"/>
  <c r="N77" i="89" s="1"/>
  <c r="B77" i="89"/>
  <c r="Z76" i="89"/>
  <c r="X76" i="89"/>
  <c r="N76" i="89"/>
  <c r="L76" i="89"/>
  <c r="B76" i="89"/>
  <c r="X75" i="89"/>
  <c r="Z75" i="89" s="1"/>
  <c r="T75" i="89"/>
  <c r="P75" i="89"/>
  <c r="H75" i="89"/>
  <c r="D75" i="89"/>
  <c r="L75" i="89" s="1"/>
  <c r="B75" i="89"/>
  <c r="Z74" i="89"/>
  <c r="X74" i="89"/>
  <c r="N74" i="89"/>
  <c r="L74" i="89"/>
  <c r="B74" i="89"/>
  <c r="Z73" i="89"/>
  <c r="X73" i="89"/>
  <c r="L73" i="89"/>
  <c r="N73" i="89" s="1"/>
  <c r="B73" i="89"/>
  <c r="Z72" i="89"/>
  <c r="X72" i="89"/>
  <c r="N72" i="89"/>
  <c r="L72" i="89"/>
  <c r="J72" i="89"/>
  <c r="B72" i="89"/>
  <c r="X71" i="89"/>
  <c r="Z71" i="89" s="1"/>
  <c r="L71" i="89"/>
  <c r="N71" i="89" s="1"/>
  <c r="B71" i="89"/>
  <c r="T70" i="89"/>
  <c r="P70" i="89"/>
  <c r="X70" i="89" s="1"/>
  <c r="Z70" i="89" s="1"/>
  <c r="L70" i="89"/>
  <c r="N70" i="89" s="1"/>
  <c r="H70" i="89"/>
  <c r="D70" i="89"/>
  <c r="B70" i="89"/>
  <c r="Z69" i="89"/>
  <c r="X69" i="89"/>
  <c r="N69" i="89"/>
  <c r="L69" i="89"/>
  <c r="B69" i="89"/>
  <c r="Z68" i="89"/>
  <c r="X68" i="89"/>
  <c r="N68" i="89"/>
  <c r="L68" i="89"/>
  <c r="B68" i="89"/>
  <c r="Z67" i="89"/>
  <c r="X67" i="89"/>
  <c r="N67" i="89"/>
  <c r="L67" i="89"/>
  <c r="B67" i="89"/>
  <c r="T66" i="89"/>
  <c r="P66" i="89"/>
  <c r="X66" i="89" s="1"/>
  <c r="H66" i="89"/>
  <c r="D66" i="89"/>
  <c r="L66" i="89" s="1"/>
  <c r="N66" i="89" s="1"/>
  <c r="B66" i="89"/>
  <c r="X65" i="89"/>
  <c r="Z65" i="89" s="1"/>
  <c r="V65" i="89"/>
  <c r="N65" i="89"/>
  <c r="L65" i="89"/>
  <c r="B65" i="89"/>
  <c r="T64" i="89"/>
  <c r="P64" i="89"/>
  <c r="H64" i="89"/>
  <c r="D64" i="89"/>
  <c r="L64" i="89" s="1"/>
  <c r="B64" i="89"/>
  <c r="Z63" i="89"/>
  <c r="X63" i="89"/>
  <c r="N63" i="89"/>
  <c r="L63" i="89"/>
  <c r="B63" i="89"/>
  <c r="T62" i="89"/>
  <c r="P62" i="89"/>
  <c r="X62" i="89" s="1"/>
  <c r="Z62" i="89" s="1"/>
  <c r="H62" i="89"/>
  <c r="D62" i="89"/>
  <c r="B62" i="89"/>
  <c r="Z61" i="89"/>
  <c r="X61" i="89"/>
  <c r="N61" i="89"/>
  <c r="L61" i="89"/>
  <c r="B61" i="89"/>
  <c r="T60" i="89"/>
  <c r="P60" i="89"/>
  <c r="X60" i="89" s="1"/>
  <c r="L60" i="89"/>
  <c r="H60" i="89"/>
  <c r="D60" i="89"/>
  <c r="B60" i="89"/>
  <c r="Z59" i="89"/>
  <c r="X59" i="89"/>
  <c r="N59" i="89"/>
  <c r="L59" i="89"/>
  <c r="B59" i="89"/>
  <c r="T58" i="89"/>
  <c r="R58" i="89"/>
  <c r="P58" i="89"/>
  <c r="X58" i="89" s="1"/>
  <c r="N58" i="89"/>
  <c r="H58" i="89"/>
  <c r="D58" i="89"/>
  <c r="L58" i="89" s="1"/>
  <c r="B58" i="89"/>
  <c r="X57" i="89"/>
  <c r="Z57" i="89" s="1"/>
  <c r="N57" i="89"/>
  <c r="L57" i="89"/>
  <c r="B57" i="89"/>
  <c r="X56" i="89"/>
  <c r="T56" i="89"/>
  <c r="P56" i="89"/>
  <c r="H56" i="89"/>
  <c r="N56" i="89" s="1"/>
  <c r="D56" i="89"/>
  <c r="L56" i="89" s="1"/>
  <c r="B56" i="89"/>
  <c r="Z55" i="89"/>
  <c r="X55" i="89"/>
  <c r="N55" i="89"/>
  <c r="L55" i="89"/>
  <c r="B55" i="89"/>
  <c r="Z54" i="89"/>
  <c r="T54" i="89"/>
  <c r="P54" i="89"/>
  <c r="X54" i="89" s="1"/>
  <c r="H54" i="89"/>
  <c r="D54" i="89"/>
  <c r="B54" i="89"/>
  <c r="Z53" i="89"/>
  <c r="X53" i="89"/>
  <c r="L53" i="89"/>
  <c r="N53" i="89" s="1"/>
  <c r="B53" i="89"/>
  <c r="T52" i="89"/>
  <c r="P52" i="89"/>
  <c r="X52" i="89" s="1"/>
  <c r="L52" i="89"/>
  <c r="H52" i="89"/>
  <c r="D52" i="89"/>
  <c r="B52" i="89"/>
  <c r="Z51" i="89"/>
  <c r="X51" i="89"/>
  <c r="N51" i="89"/>
  <c r="L51" i="89"/>
  <c r="B51" i="89"/>
  <c r="T50" i="89"/>
  <c r="P50" i="89"/>
  <c r="X50" i="89" s="1"/>
  <c r="H50" i="89"/>
  <c r="D50" i="89"/>
  <c r="L50" i="89" s="1"/>
  <c r="N50" i="89" s="1"/>
  <c r="B50" i="89"/>
  <c r="X49" i="89"/>
  <c r="Z49" i="89" s="1"/>
  <c r="L49" i="89"/>
  <c r="N49" i="89" s="1"/>
  <c r="B49" i="89"/>
  <c r="Z48" i="89"/>
  <c r="X48" i="89"/>
  <c r="T48" i="89"/>
  <c r="P48" i="89"/>
  <c r="H48" i="89"/>
  <c r="D48" i="89"/>
  <c r="B48" i="89"/>
  <c r="Z47" i="89"/>
  <c r="X47" i="89"/>
  <c r="N47" i="89"/>
  <c r="L47" i="89"/>
  <c r="B47" i="89"/>
  <c r="Z46" i="89"/>
  <c r="X46" i="89"/>
  <c r="V46" i="89"/>
  <c r="R46" i="89"/>
  <c r="N46" i="89"/>
  <c r="L46" i="89"/>
  <c r="B46" i="89"/>
  <c r="X45" i="89"/>
  <c r="Z45" i="89" s="1"/>
  <c r="L45" i="89"/>
  <c r="N45" i="89" s="1"/>
  <c r="B45" i="89"/>
  <c r="Z44" i="89"/>
  <c r="X44" i="89"/>
  <c r="N44" i="89"/>
  <c r="L44" i="89"/>
  <c r="B44" i="89"/>
  <c r="Z43" i="89"/>
  <c r="X43" i="89"/>
  <c r="N43" i="89"/>
  <c r="L43" i="89"/>
  <c r="B43" i="89"/>
  <c r="Z42" i="89"/>
  <c r="X42" i="89"/>
  <c r="N42" i="89"/>
  <c r="L42" i="89"/>
  <c r="J42" i="89"/>
  <c r="B42" i="89"/>
  <c r="X41" i="89"/>
  <c r="Z41" i="89" s="1"/>
  <c r="L41" i="89"/>
  <c r="N41" i="89" s="1"/>
  <c r="J41" i="89"/>
  <c r="B41" i="89"/>
  <c r="Z40" i="89"/>
  <c r="X40" i="89"/>
  <c r="N40" i="89"/>
  <c r="L40" i="89"/>
  <c r="B40" i="89"/>
  <c r="X39" i="89"/>
  <c r="Z39" i="89" s="1"/>
  <c r="N39" i="89"/>
  <c r="L39" i="89"/>
  <c r="B39" i="89"/>
  <c r="Z38" i="89"/>
  <c r="X38" i="89"/>
  <c r="N38" i="89"/>
  <c r="L38" i="89"/>
  <c r="B38" i="89"/>
  <c r="X37" i="89"/>
  <c r="T37" i="89"/>
  <c r="P37" i="89"/>
  <c r="H37" i="89"/>
  <c r="D37" i="89"/>
  <c r="B37" i="89"/>
  <c r="Z36" i="89"/>
  <c r="X36" i="89"/>
  <c r="N36" i="89"/>
  <c r="L36" i="89"/>
  <c r="B36" i="89"/>
  <c r="X35" i="89"/>
  <c r="Z35" i="89" s="1"/>
  <c r="N35" i="89"/>
  <c r="L35" i="89"/>
  <c r="B35" i="89"/>
  <c r="Z34" i="89"/>
  <c r="X34" i="89"/>
  <c r="N34" i="89"/>
  <c r="L34" i="89"/>
  <c r="B34" i="89"/>
  <c r="Z33" i="89"/>
  <c r="X33" i="89"/>
  <c r="N33" i="89"/>
  <c r="L33" i="89"/>
  <c r="B33" i="89"/>
  <c r="Z32" i="89"/>
  <c r="X32" i="89"/>
  <c r="N32" i="89"/>
  <c r="L32" i="89"/>
  <c r="B32" i="89"/>
  <c r="Z31" i="89"/>
  <c r="X31" i="89"/>
  <c r="L31" i="89"/>
  <c r="N31" i="89" s="1"/>
  <c r="B31" i="89"/>
  <c r="Z30" i="89"/>
  <c r="X30" i="89"/>
  <c r="N30" i="89"/>
  <c r="L30" i="89"/>
  <c r="J30" i="89"/>
  <c r="B30" i="89"/>
  <c r="X29" i="89"/>
  <c r="Z29" i="89" s="1"/>
  <c r="L29" i="89"/>
  <c r="N29" i="89" s="1"/>
  <c r="J29" i="89"/>
  <c r="B29" i="89"/>
  <c r="X28" i="89"/>
  <c r="Z28" i="89" s="1"/>
  <c r="L28" i="89"/>
  <c r="N28" i="89" s="1"/>
  <c r="B28" i="89"/>
  <c r="X27" i="89"/>
  <c r="Z27" i="89" s="1"/>
  <c r="R27" i="89"/>
  <c r="N27" i="89"/>
  <c r="L27" i="89"/>
  <c r="B27" i="89"/>
  <c r="T26" i="89"/>
  <c r="P26" i="89"/>
  <c r="H26" i="89"/>
  <c r="D26" i="89"/>
  <c r="L26" i="89" s="1"/>
  <c r="N26" i="89" s="1"/>
  <c r="B26" i="89"/>
  <c r="T25" i="89"/>
  <c r="P25" i="89"/>
  <c r="X25" i="89" s="1"/>
  <c r="H25" i="89"/>
  <c r="D25" i="89"/>
  <c r="L25" i="89" s="1"/>
  <c r="N25" i="89" s="1"/>
  <c r="H23" i="89"/>
  <c r="Z21" i="89"/>
  <c r="X21" i="89"/>
  <c r="R21" i="89"/>
  <c r="N21" i="89"/>
  <c r="L21" i="89"/>
  <c r="J21" i="89"/>
  <c r="B21" i="89"/>
  <c r="Z20" i="89"/>
  <c r="X20" i="89"/>
  <c r="N20" i="89"/>
  <c r="L20" i="89"/>
  <c r="B20" i="89"/>
  <c r="X19" i="89"/>
  <c r="Z19" i="89" s="1"/>
  <c r="N19" i="89"/>
  <c r="L19" i="89"/>
  <c r="B19" i="89"/>
  <c r="Z18" i="89"/>
  <c r="T18" i="89"/>
  <c r="X18" i="89" s="1"/>
  <c r="P18" i="89"/>
  <c r="J18" i="89"/>
  <c r="H18" i="89"/>
  <c r="D18" i="89"/>
  <c r="L18" i="89" s="1"/>
  <c r="N18" i="89" s="1"/>
  <c r="Z16" i="89"/>
  <c r="P16" i="89"/>
  <c r="X16" i="89" s="1"/>
  <c r="N16" i="89"/>
  <c r="L16" i="89"/>
  <c r="D16" i="89"/>
  <c r="B16" i="89"/>
  <c r="Z15" i="89"/>
  <c r="X15" i="89"/>
  <c r="P15" i="89"/>
  <c r="N15" i="89"/>
  <c r="D15" i="89"/>
  <c r="L15" i="89" s="1"/>
  <c r="B15" i="89"/>
  <c r="X14" i="89"/>
  <c r="Z14" i="89" s="1"/>
  <c r="P14" i="89"/>
  <c r="L14" i="89"/>
  <c r="N14" i="89" s="1"/>
  <c r="D14" i="89"/>
  <c r="B14" i="89"/>
  <c r="Z13" i="89"/>
  <c r="X13" i="89"/>
  <c r="P13" i="89"/>
  <c r="N13" i="89"/>
  <c r="D13" i="89"/>
  <c r="L13" i="89" s="1"/>
  <c r="B13" i="89"/>
  <c r="T12" i="89"/>
  <c r="V87" i="89" s="1"/>
  <c r="P12" i="89"/>
  <c r="H12" i="89"/>
  <c r="J87" i="89" s="1"/>
  <c r="D6" i="89"/>
  <c r="D4" i="89"/>
  <c r="R66" i="88"/>
  <c r="J63" i="88"/>
  <c r="Z61" i="88"/>
  <c r="X61" i="88"/>
  <c r="N61" i="88"/>
  <c r="L61" i="88"/>
  <c r="Z57" i="88"/>
  <c r="T57" i="88"/>
  <c r="R57" i="88"/>
  <c r="P57" i="88"/>
  <c r="X57" i="88" s="1"/>
  <c r="H57" i="88"/>
  <c r="N57" i="88" s="1"/>
  <c r="D57" i="88"/>
  <c r="Z55" i="88"/>
  <c r="X55" i="88"/>
  <c r="N55" i="88"/>
  <c r="L55" i="88"/>
  <c r="B55" i="88"/>
  <c r="T54" i="88"/>
  <c r="Z54" i="88" s="1"/>
  <c r="P54" i="88"/>
  <c r="L54" i="88"/>
  <c r="H54" i="88"/>
  <c r="N54" i="88" s="1"/>
  <c r="D54" i="88"/>
  <c r="B54" i="88"/>
  <c r="Z53" i="88"/>
  <c r="X53" i="88"/>
  <c r="R53" i="88"/>
  <c r="N53" i="88"/>
  <c r="L53" i="88"/>
  <c r="B53" i="88"/>
  <c r="T52" i="88"/>
  <c r="P52" i="88"/>
  <c r="X52" i="88" s="1"/>
  <c r="L52" i="88"/>
  <c r="N52" i="88" s="1"/>
  <c r="H52" i="88"/>
  <c r="D52" i="88"/>
  <c r="B52" i="88"/>
  <c r="Z51" i="88"/>
  <c r="X51" i="88"/>
  <c r="N51" i="88"/>
  <c r="L51" i="88"/>
  <c r="B51" i="88"/>
  <c r="X50" i="88"/>
  <c r="Z50" i="88" s="1"/>
  <c r="R50" i="88"/>
  <c r="N50" i="88"/>
  <c r="L50" i="88"/>
  <c r="B50" i="88"/>
  <c r="Z49" i="88"/>
  <c r="T49" i="88"/>
  <c r="X49" i="88" s="1"/>
  <c r="P49" i="88"/>
  <c r="N49" i="88"/>
  <c r="L49" i="88"/>
  <c r="H49" i="88"/>
  <c r="D49" i="88"/>
  <c r="B49" i="88"/>
  <c r="Z48" i="88"/>
  <c r="X48" i="88"/>
  <c r="N48" i="88"/>
  <c r="L48" i="88"/>
  <c r="B48" i="88"/>
  <c r="Z47" i="88"/>
  <c r="X47" i="88"/>
  <c r="L47" i="88"/>
  <c r="N47" i="88" s="1"/>
  <c r="B47" i="88"/>
  <c r="Z46" i="88"/>
  <c r="X46" i="88"/>
  <c r="T46" i="88"/>
  <c r="P46" i="88"/>
  <c r="H46" i="88"/>
  <c r="D46" i="88"/>
  <c r="L46" i="88" s="1"/>
  <c r="B46" i="88"/>
  <c r="Z45" i="88"/>
  <c r="X45" i="88"/>
  <c r="N45" i="88"/>
  <c r="L45" i="88"/>
  <c r="J45" i="88"/>
  <c r="B45" i="88"/>
  <c r="X44" i="88"/>
  <c r="T44" i="88"/>
  <c r="P44" i="88"/>
  <c r="L44" i="88"/>
  <c r="H44" i="88"/>
  <c r="D44" i="88"/>
  <c r="B44" i="88"/>
  <c r="Z43" i="88"/>
  <c r="X43" i="88"/>
  <c r="N43" i="88"/>
  <c r="L43" i="88"/>
  <c r="B43" i="88"/>
  <c r="T42" i="88"/>
  <c r="R42" i="88"/>
  <c r="P42" i="88"/>
  <c r="X42" i="88" s="1"/>
  <c r="Z42" i="88" s="1"/>
  <c r="L42" i="88"/>
  <c r="H42" i="88"/>
  <c r="N42" i="88" s="1"/>
  <c r="D42" i="88"/>
  <c r="B42" i="88"/>
  <c r="Z41" i="88"/>
  <c r="X41" i="88"/>
  <c r="V41" i="88"/>
  <c r="N41" i="88"/>
  <c r="L41" i="88"/>
  <c r="F41" i="88"/>
  <c r="B41" i="88"/>
  <c r="X40" i="88"/>
  <c r="T40" i="88"/>
  <c r="Z40" i="88" s="1"/>
  <c r="P40" i="88"/>
  <c r="N40" i="88"/>
  <c r="H40" i="88"/>
  <c r="L40" i="88" s="1"/>
  <c r="D40" i="88"/>
  <c r="B40" i="88"/>
  <c r="Z39" i="88"/>
  <c r="X39" i="88"/>
  <c r="V39" i="88"/>
  <c r="N39" i="88"/>
  <c r="L39" i="88"/>
  <c r="B39" i="88"/>
  <c r="Z38" i="88"/>
  <c r="X38" i="88"/>
  <c r="N38" i="88"/>
  <c r="L38" i="88"/>
  <c r="B38" i="88"/>
  <c r="Z37" i="88"/>
  <c r="X37" i="88"/>
  <c r="V37" i="88"/>
  <c r="N37" i="88"/>
  <c r="L37" i="88"/>
  <c r="F37" i="88"/>
  <c r="B37" i="88"/>
  <c r="Z36" i="88"/>
  <c r="X36" i="88"/>
  <c r="N36" i="88"/>
  <c r="L36" i="88"/>
  <c r="J36" i="88"/>
  <c r="B36" i="88"/>
  <c r="Z35" i="88"/>
  <c r="X35" i="88"/>
  <c r="N35" i="88"/>
  <c r="L35" i="88"/>
  <c r="J35" i="88"/>
  <c r="B35" i="88"/>
  <c r="Z34" i="88"/>
  <c r="X34" i="88"/>
  <c r="N34" i="88"/>
  <c r="L34" i="88"/>
  <c r="B34" i="88"/>
  <c r="Z33" i="88"/>
  <c r="X33" i="88"/>
  <c r="R33" i="88"/>
  <c r="N33" i="88"/>
  <c r="L33" i="88"/>
  <c r="J33" i="88"/>
  <c r="B33" i="88"/>
  <c r="Z32" i="88"/>
  <c r="X32" i="88"/>
  <c r="V32" i="88"/>
  <c r="N32" i="88"/>
  <c r="L32" i="88"/>
  <c r="B32" i="88"/>
  <c r="X31" i="88"/>
  <c r="Z31" i="88" s="1"/>
  <c r="V31" i="88"/>
  <c r="N31" i="88"/>
  <c r="L31" i="88"/>
  <c r="B31" i="88"/>
  <c r="Z30" i="88"/>
  <c r="X30" i="88"/>
  <c r="N30" i="88"/>
  <c r="L30" i="88"/>
  <c r="B30" i="88"/>
  <c r="Z29" i="88"/>
  <c r="X29" i="88"/>
  <c r="V29" i="88"/>
  <c r="T29" i="88"/>
  <c r="P29" i="88"/>
  <c r="L29" i="88"/>
  <c r="J29" i="88"/>
  <c r="H29" i="88"/>
  <c r="D29" i="88"/>
  <c r="B29" i="88"/>
  <c r="Z28" i="88"/>
  <c r="X28" i="88"/>
  <c r="V28" i="88"/>
  <c r="N28" i="88"/>
  <c r="L28" i="88"/>
  <c r="B28" i="88"/>
  <c r="X27" i="88"/>
  <c r="Z27" i="88" s="1"/>
  <c r="V27" i="88"/>
  <c r="N27" i="88"/>
  <c r="L27" i="88"/>
  <c r="B27" i="88"/>
  <c r="Z26" i="88"/>
  <c r="X26" i="88"/>
  <c r="L26" i="88"/>
  <c r="N26" i="88" s="1"/>
  <c r="B26" i="88"/>
  <c r="Z25" i="88"/>
  <c r="X25" i="88"/>
  <c r="V25" i="88"/>
  <c r="N25" i="88"/>
  <c r="L25" i="88"/>
  <c r="F25" i="88"/>
  <c r="B25" i="88"/>
  <c r="X24" i="88"/>
  <c r="Z24" i="88" s="1"/>
  <c r="L24" i="88"/>
  <c r="N24" i="88" s="1"/>
  <c r="J24" i="88"/>
  <c r="B24" i="88"/>
  <c r="Z23" i="88"/>
  <c r="X23" i="88"/>
  <c r="L23" i="88"/>
  <c r="N23" i="88" s="1"/>
  <c r="J23" i="88"/>
  <c r="B23" i="88"/>
  <c r="X22" i="88"/>
  <c r="Z22" i="88" s="1"/>
  <c r="N22" i="88"/>
  <c r="L22" i="88"/>
  <c r="F22" i="88"/>
  <c r="B22" i="88"/>
  <c r="Z21" i="88"/>
  <c r="X21" i="88"/>
  <c r="R21" i="88"/>
  <c r="N21" i="88"/>
  <c r="L21" i="88"/>
  <c r="J21" i="88"/>
  <c r="B21" i="88"/>
  <c r="X20" i="88"/>
  <c r="Z20" i="88" s="1"/>
  <c r="V20" i="88"/>
  <c r="L20" i="88"/>
  <c r="N20" i="88" s="1"/>
  <c r="B20" i="88"/>
  <c r="X19" i="88"/>
  <c r="V19" i="88"/>
  <c r="T19" i="88"/>
  <c r="P19" i="88"/>
  <c r="H19" i="88"/>
  <c r="F19" i="88"/>
  <c r="D19" i="88"/>
  <c r="B19" i="88"/>
  <c r="T18" i="88"/>
  <c r="R18" i="88"/>
  <c r="P18" i="88"/>
  <c r="X18" i="88" s="1"/>
  <c r="L18" i="88"/>
  <c r="H18" i="88"/>
  <c r="N18" i="88" s="1"/>
  <c r="D18" i="88"/>
  <c r="Z16" i="88"/>
  <c r="T16" i="88"/>
  <c r="T59" i="88" s="1"/>
  <c r="T63" i="88" s="1"/>
  <c r="T66" i="88" s="1"/>
  <c r="J16" i="88"/>
  <c r="H16" i="88"/>
  <c r="H59" i="88" s="1"/>
  <c r="D16" i="88"/>
  <c r="D59" i="88" s="1"/>
  <c r="T14" i="88"/>
  <c r="Z14" i="88" s="1"/>
  <c r="R14" i="88"/>
  <c r="P14" i="88"/>
  <c r="X14" i="88" s="1"/>
  <c r="L14" i="88"/>
  <c r="H14" i="88"/>
  <c r="N14" i="88" s="1"/>
  <c r="D14" i="88"/>
  <c r="Z12" i="88"/>
  <c r="T12" i="88"/>
  <c r="V47" i="88" s="1"/>
  <c r="P12" i="88"/>
  <c r="H12" i="88"/>
  <c r="J41" i="88" s="1"/>
  <c r="D12" i="88"/>
  <c r="F63" i="88" s="1"/>
  <c r="D6" i="88"/>
  <c r="D4" i="88"/>
  <c r="V40" i="87"/>
  <c r="Z38" i="87"/>
  <c r="X38" i="87"/>
  <c r="N38" i="87"/>
  <c r="L38" i="87"/>
  <c r="J38" i="87"/>
  <c r="V34" i="87"/>
  <c r="T34" i="87"/>
  <c r="Z34" i="87" s="1"/>
  <c r="P34" i="87"/>
  <c r="X34" i="87" s="1"/>
  <c r="H34" i="87"/>
  <c r="N34" i="87" s="1"/>
  <c r="D34" i="87"/>
  <c r="L34" i="87" s="1"/>
  <c r="Z32" i="87"/>
  <c r="X32" i="87"/>
  <c r="N32" i="87"/>
  <c r="L32" i="87"/>
  <c r="J32" i="87"/>
  <c r="B32" i="87"/>
  <c r="Z31" i="87"/>
  <c r="T31" i="87"/>
  <c r="P31" i="87"/>
  <c r="X31" i="87" s="1"/>
  <c r="N31" i="87"/>
  <c r="L31" i="87"/>
  <c r="H31" i="87"/>
  <c r="D31" i="87"/>
  <c r="B31" i="87"/>
  <c r="Z30" i="87"/>
  <c r="X30" i="87"/>
  <c r="R30" i="87"/>
  <c r="N30" i="87"/>
  <c r="L30" i="87"/>
  <c r="B30" i="87"/>
  <c r="Z29" i="87"/>
  <c r="V29" i="87"/>
  <c r="T29" i="87"/>
  <c r="P29" i="87"/>
  <c r="X29" i="87" s="1"/>
  <c r="N29" i="87"/>
  <c r="L29" i="87"/>
  <c r="H29" i="87"/>
  <c r="D29" i="87"/>
  <c r="B29" i="87"/>
  <c r="Z28" i="87"/>
  <c r="X28" i="87"/>
  <c r="V28" i="87"/>
  <c r="R28" i="87"/>
  <c r="N28" i="87"/>
  <c r="L28" i="87"/>
  <c r="B28" i="87"/>
  <c r="Z27" i="87"/>
  <c r="X27" i="87"/>
  <c r="V27" i="87"/>
  <c r="T27" i="87"/>
  <c r="R27" i="87"/>
  <c r="P27" i="87"/>
  <c r="H27" i="87"/>
  <c r="N27" i="87" s="1"/>
  <c r="D27" i="87"/>
  <c r="L27" i="87" s="1"/>
  <c r="B27" i="87"/>
  <c r="Z26" i="87"/>
  <c r="X26" i="87"/>
  <c r="N26" i="87"/>
  <c r="L26" i="87"/>
  <c r="B26" i="87"/>
  <c r="T25" i="87"/>
  <c r="Z25" i="87" s="1"/>
  <c r="R25" i="87"/>
  <c r="P25" i="87"/>
  <c r="X25" i="87" s="1"/>
  <c r="N25" i="87"/>
  <c r="H25" i="87"/>
  <c r="D25" i="87"/>
  <c r="L25" i="87" s="1"/>
  <c r="B25" i="87"/>
  <c r="X24" i="87"/>
  <c r="Z24" i="87" s="1"/>
  <c r="L24" i="87"/>
  <c r="N24" i="87" s="1"/>
  <c r="J24" i="87"/>
  <c r="B24" i="87"/>
  <c r="T23" i="87"/>
  <c r="P23" i="87"/>
  <c r="X23" i="87" s="1"/>
  <c r="Z23" i="87" s="1"/>
  <c r="H23" i="87"/>
  <c r="D23" i="87"/>
  <c r="L23" i="87" s="1"/>
  <c r="N23" i="87" s="1"/>
  <c r="B23" i="87"/>
  <c r="Z22" i="87"/>
  <c r="X22" i="87"/>
  <c r="R22" i="87"/>
  <c r="N22" i="87"/>
  <c r="L22" i="87"/>
  <c r="B22" i="87"/>
  <c r="Z21" i="87"/>
  <c r="V21" i="87"/>
  <c r="T21" i="87"/>
  <c r="P21" i="87"/>
  <c r="X21" i="87" s="1"/>
  <c r="N21" i="87"/>
  <c r="L21" i="87"/>
  <c r="H21" i="87"/>
  <c r="D21" i="87"/>
  <c r="B21" i="87"/>
  <c r="V20" i="87"/>
  <c r="T20" i="87"/>
  <c r="P20" i="87"/>
  <c r="X20" i="87" s="1"/>
  <c r="H20" i="87"/>
  <c r="D20" i="87"/>
  <c r="L20" i="87" s="1"/>
  <c r="P18" i="87"/>
  <c r="P36" i="87" s="1"/>
  <c r="Z16" i="87"/>
  <c r="X16" i="87"/>
  <c r="V16" i="87"/>
  <c r="R16" i="87"/>
  <c r="N16" i="87"/>
  <c r="L16" i="87"/>
  <c r="B16" i="87"/>
  <c r="Z15" i="87"/>
  <c r="X15" i="87"/>
  <c r="V15" i="87"/>
  <c r="T15" i="87"/>
  <c r="R15" i="87"/>
  <c r="P15" i="87"/>
  <c r="H15" i="87"/>
  <c r="N15" i="87" s="1"/>
  <c r="D15" i="87"/>
  <c r="Z13" i="87"/>
  <c r="X13" i="87"/>
  <c r="P13" i="87"/>
  <c r="N13" i="87"/>
  <c r="D13" i="87"/>
  <c r="B13" i="87"/>
  <c r="Z12" i="87"/>
  <c r="X12" i="87"/>
  <c r="T12" i="87"/>
  <c r="V43" i="87" s="1"/>
  <c r="P12" i="87"/>
  <c r="R38" i="87" s="1"/>
  <c r="H12" i="87"/>
  <c r="D6" i="87"/>
  <c r="D4" i="87"/>
  <c r="R33" i="86"/>
  <c r="J30" i="86"/>
  <c r="Z28" i="86"/>
  <c r="X28" i="86"/>
  <c r="N28" i="86"/>
  <c r="L28" i="86"/>
  <c r="R26" i="86"/>
  <c r="T24" i="86"/>
  <c r="X24" i="86" s="1"/>
  <c r="P24" i="86"/>
  <c r="J24" i="86"/>
  <c r="H24" i="86"/>
  <c r="N24" i="86" s="1"/>
  <c r="D24" i="86"/>
  <c r="L24" i="86" s="1"/>
  <c r="Z22" i="86"/>
  <c r="X22" i="86"/>
  <c r="N22" i="86"/>
  <c r="L22" i="86"/>
  <c r="F22" i="86"/>
  <c r="B22" i="86"/>
  <c r="T21" i="86"/>
  <c r="Z21" i="86" s="1"/>
  <c r="R21" i="86"/>
  <c r="P21" i="86"/>
  <c r="N21" i="86"/>
  <c r="H21" i="86"/>
  <c r="D21" i="86"/>
  <c r="L21" i="86" s="1"/>
  <c r="B21" i="86"/>
  <c r="X20" i="86"/>
  <c r="Z20" i="86" s="1"/>
  <c r="L20" i="86"/>
  <c r="N20" i="86" s="1"/>
  <c r="J20" i="86"/>
  <c r="B20" i="86"/>
  <c r="T19" i="86"/>
  <c r="P19" i="86"/>
  <c r="X19" i="86" s="1"/>
  <c r="Z19" i="86" s="1"/>
  <c r="N19" i="86"/>
  <c r="J19" i="86"/>
  <c r="H19" i="86"/>
  <c r="D19" i="86"/>
  <c r="L19" i="86" s="1"/>
  <c r="B19" i="86"/>
  <c r="T18" i="86"/>
  <c r="P18" i="86"/>
  <c r="J18" i="86"/>
  <c r="H18" i="86"/>
  <c r="D18" i="86"/>
  <c r="L18" i="86" s="1"/>
  <c r="R16" i="86"/>
  <c r="P16" i="86"/>
  <c r="T14" i="86"/>
  <c r="P14" i="86"/>
  <c r="J14" i="86"/>
  <c r="H14" i="86"/>
  <c r="N14" i="86" s="1"/>
  <c r="D14" i="86"/>
  <c r="T12" i="86"/>
  <c r="V20" i="86" s="1"/>
  <c r="P12" i="86"/>
  <c r="R30" i="86" s="1"/>
  <c r="N12" i="86"/>
  <c r="L12" i="86"/>
  <c r="H12" i="86"/>
  <c r="J33" i="86" s="1"/>
  <c r="D12" i="86"/>
  <c r="D6" i="86"/>
  <c r="D4" i="86"/>
  <c r="Z53" i="85"/>
  <c r="X53" i="85"/>
  <c r="V53" i="85"/>
  <c r="N53" i="85"/>
  <c r="L53" i="85"/>
  <c r="X49" i="85"/>
  <c r="Z49" i="85" s="1"/>
  <c r="P49" i="85"/>
  <c r="D49" i="85"/>
  <c r="L49" i="85" s="1"/>
  <c r="N49" i="85" s="1"/>
  <c r="B49" i="85"/>
  <c r="T48" i="85"/>
  <c r="R48" i="85"/>
  <c r="P48" i="85"/>
  <c r="H48" i="85"/>
  <c r="Z46" i="85"/>
  <c r="X46" i="85"/>
  <c r="V46" i="85"/>
  <c r="N46" i="85"/>
  <c r="L46" i="85"/>
  <c r="B46" i="85"/>
  <c r="X45" i="85"/>
  <c r="T45" i="85"/>
  <c r="Z45" i="85" s="1"/>
  <c r="P45" i="85"/>
  <c r="N45" i="85"/>
  <c r="L45" i="85"/>
  <c r="H45" i="85"/>
  <c r="D45" i="85"/>
  <c r="B45" i="85"/>
  <c r="Z44" i="85"/>
  <c r="X44" i="85"/>
  <c r="V44" i="85"/>
  <c r="N44" i="85"/>
  <c r="L44" i="85"/>
  <c r="B44" i="85"/>
  <c r="Z43" i="85"/>
  <c r="X43" i="85"/>
  <c r="T43" i="85"/>
  <c r="P43" i="85"/>
  <c r="H43" i="85"/>
  <c r="N43" i="85" s="1"/>
  <c r="D43" i="85"/>
  <c r="L43" i="85" s="1"/>
  <c r="B43" i="85"/>
  <c r="Z42" i="85"/>
  <c r="X42" i="85"/>
  <c r="N42" i="85"/>
  <c r="L42" i="85"/>
  <c r="B42" i="85"/>
  <c r="T41" i="85"/>
  <c r="Z41" i="85" s="1"/>
  <c r="P41" i="85"/>
  <c r="H41" i="85"/>
  <c r="N41" i="85" s="1"/>
  <c r="D41" i="85"/>
  <c r="L41" i="85" s="1"/>
  <c r="B41" i="85"/>
  <c r="Z40" i="85"/>
  <c r="X40" i="85"/>
  <c r="N40" i="85"/>
  <c r="L40" i="85"/>
  <c r="B40" i="85"/>
  <c r="X39" i="85"/>
  <c r="T39" i="85"/>
  <c r="Z39" i="85" s="1"/>
  <c r="P39" i="85"/>
  <c r="H39" i="85"/>
  <c r="N39" i="85" s="1"/>
  <c r="D39" i="85"/>
  <c r="L39" i="85" s="1"/>
  <c r="B39" i="85"/>
  <c r="Z38" i="85"/>
  <c r="X38" i="85"/>
  <c r="N38" i="85"/>
  <c r="L38" i="85"/>
  <c r="B38" i="85"/>
  <c r="Z37" i="85"/>
  <c r="X37" i="85"/>
  <c r="N37" i="85"/>
  <c r="L37" i="85"/>
  <c r="J37" i="85"/>
  <c r="B37" i="85"/>
  <c r="Z36" i="85"/>
  <c r="X36" i="85"/>
  <c r="R36" i="85"/>
  <c r="N36" i="85"/>
  <c r="L36" i="85"/>
  <c r="B36" i="85"/>
  <c r="Z35" i="85"/>
  <c r="X35" i="85"/>
  <c r="V35" i="85"/>
  <c r="R35" i="85"/>
  <c r="N35" i="85"/>
  <c r="L35" i="85"/>
  <c r="B35" i="85"/>
  <c r="Z34" i="85"/>
  <c r="X34" i="85"/>
  <c r="V34" i="85"/>
  <c r="R34" i="85"/>
  <c r="N34" i="85"/>
  <c r="L34" i="85"/>
  <c r="B34" i="85"/>
  <c r="Z33" i="85"/>
  <c r="X33" i="85"/>
  <c r="V33" i="85"/>
  <c r="N33" i="85"/>
  <c r="L33" i="85"/>
  <c r="B33" i="85"/>
  <c r="Z32" i="85"/>
  <c r="X32" i="85"/>
  <c r="R32" i="85"/>
  <c r="N32" i="85"/>
  <c r="L32" i="85"/>
  <c r="B32" i="85"/>
  <c r="Z31" i="85"/>
  <c r="X31" i="85"/>
  <c r="N31" i="85"/>
  <c r="L31" i="85"/>
  <c r="B31" i="85"/>
  <c r="Z30" i="85"/>
  <c r="X30" i="85"/>
  <c r="N30" i="85"/>
  <c r="L30" i="85"/>
  <c r="B30" i="85"/>
  <c r="Z29" i="85"/>
  <c r="X29" i="85"/>
  <c r="N29" i="85"/>
  <c r="L29" i="85"/>
  <c r="J29" i="85"/>
  <c r="B29" i="85"/>
  <c r="T28" i="85"/>
  <c r="Z28" i="85" s="1"/>
  <c r="R28" i="85"/>
  <c r="P28" i="85"/>
  <c r="X28" i="85" s="1"/>
  <c r="N28" i="85"/>
  <c r="H28" i="85"/>
  <c r="D28" i="85"/>
  <c r="L28" i="85" s="1"/>
  <c r="B28" i="85"/>
  <c r="Z27" i="85"/>
  <c r="X27" i="85"/>
  <c r="N27" i="85"/>
  <c r="L27" i="85"/>
  <c r="B27" i="85"/>
  <c r="Z26" i="85"/>
  <c r="X26" i="85"/>
  <c r="N26" i="85"/>
  <c r="L26" i="85"/>
  <c r="F26" i="85"/>
  <c r="B26" i="85"/>
  <c r="Z25" i="85"/>
  <c r="X25" i="85"/>
  <c r="R25" i="85"/>
  <c r="N25" i="85"/>
  <c r="L25" i="85"/>
  <c r="J25" i="85"/>
  <c r="B25" i="85"/>
  <c r="Z24" i="85"/>
  <c r="X24" i="85"/>
  <c r="R24" i="85"/>
  <c r="N24" i="85"/>
  <c r="L24" i="85"/>
  <c r="B24" i="85"/>
  <c r="Z23" i="85"/>
  <c r="X23" i="85"/>
  <c r="V23" i="85"/>
  <c r="R23" i="85"/>
  <c r="N23" i="85"/>
  <c r="L23" i="85"/>
  <c r="B23" i="85"/>
  <c r="Z22" i="85"/>
  <c r="X22" i="85"/>
  <c r="V22" i="85"/>
  <c r="R22" i="85"/>
  <c r="N22" i="85"/>
  <c r="L22" i="85"/>
  <c r="B22" i="85"/>
  <c r="Z21" i="85"/>
  <c r="X21" i="85"/>
  <c r="V21" i="85"/>
  <c r="N21" i="85"/>
  <c r="L21" i="85"/>
  <c r="B21" i="85"/>
  <c r="Z20" i="85"/>
  <c r="X20" i="85"/>
  <c r="R20" i="85"/>
  <c r="N20" i="85"/>
  <c r="L20" i="85"/>
  <c r="B20" i="85"/>
  <c r="Z19" i="85"/>
  <c r="V19" i="85"/>
  <c r="T19" i="85"/>
  <c r="P19" i="85"/>
  <c r="X19" i="85" s="1"/>
  <c r="N19" i="85"/>
  <c r="L19" i="85"/>
  <c r="J19" i="85"/>
  <c r="H19" i="85"/>
  <c r="D19" i="85"/>
  <c r="B19" i="85"/>
  <c r="V18" i="85"/>
  <c r="T18" i="85"/>
  <c r="P18" i="85"/>
  <c r="H18" i="85"/>
  <c r="N18" i="85" s="1"/>
  <c r="D18" i="85"/>
  <c r="L18" i="85" s="1"/>
  <c r="R16" i="85"/>
  <c r="P16" i="85"/>
  <c r="V14" i="85"/>
  <c r="T14" i="85"/>
  <c r="P14" i="85"/>
  <c r="H14" i="85"/>
  <c r="N14" i="85" s="1"/>
  <c r="D14" i="85"/>
  <c r="L14" i="85" s="1"/>
  <c r="X12" i="85"/>
  <c r="T12" i="85"/>
  <c r="V51" i="85" s="1"/>
  <c r="P12" i="85"/>
  <c r="R37" i="85" s="1"/>
  <c r="H12" i="85"/>
  <c r="D12" i="85"/>
  <c r="F38" i="85" s="1"/>
  <c r="D6" i="85"/>
  <c r="D4" i="85"/>
  <c r="Z89" i="84"/>
  <c r="X89" i="84"/>
  <c r="L89" i="84"/>
  <c r="N89" i="84" s="1"/>
  <c r="Z85" i="84"/>
  <c r="X85" i="84"/>
  <c r="P85" i="84"/>
  <c r="N85" i="84"/>
  <c r="D85" i="84"/>
  <c r="B85" i="84"/>
  <c r="Z84" i="84"/>
  <c r="T84" i="84"/>
  <c r="P84" i="84"/>
  <c r="X84" i="84" s="1"/>
  <c r="N84" i="84"/>
  <c r="H84" i="84"/>
  <c r="X82" i="84"/>
  <c r="Z82" i="84" s="1"/>
  <c r="V82" i="84"/>
  <c r="N82" i="84"/>
  <c r="L82" i="84"/>
  <c r="B82" i="84"/>
  <c r="X81" i="84"/>
  <c r="Z81" i="84" s="1"/>
  <c r="T81" i="84"/>
  <c r="P81" i="84"/>
  <c r="H81" i="84"/>
  <c r="D81" i="84"/>
  <c r="B81" i="84"/>
  <c r="X80" i="84"/>
  <c r="Z80" i="84" s="1"/>
  <c r="N80" i="84"/>
  <c r="L80" i="84"/>
  <c r="B80" i="84"/>
  <c r="T79" i="84"/>
  <c r="P79" i="84"/>
  <c r="H79" i="84"/>
  <c r="N79" i="84" s="1"/>
  <c r="D79" i="84"/>
  <c r="L79" i="84" s="1"/>
  <c r="B79" i="84"/>
  <c r="Z78" i="84"/>
  <c r="X78" i="84"/>
  <c r="L78" i="84"/>
  <c r="N78" i="84" s="1"/>
  <c r="B78" i="84"/>
  <c r="Z77" i="84"/>
  <c r="X77" i="84"/>
  <c r="L77" i="84"/>
  <c r="N77" i="84" s="1"/>
  <c r="B77" i="84"/>
  <c r="T76" i="84"/>
  <c r="P76" i="84"/>
  <c r="H76" i="84"/>
  <c r="D76" i="84"/>
  <c r="L76" i="84" s="1"/>
  <c r="N76" i="84" s="1"/>
  <c r="B76" i="84"/>
  <c r="X75" i="84"/>
  <c r="Z75" i="84" s="1"/>
  <c r="N75" i="84"/>
  <c r="L75" i="84"/>
  <c r="B75" i="84"/>
  <c r="Z74" i="84"/>
  <c r="X74" i="84"/>
  <c r="L74" i="84"/>
  <c r="N74" i="84" s="1"/>
  <c r="B74" i="84"/>
  <c r="Z73" i="84"/>
  <c r="X73" i="84"/>
  <c r="N73" i="84"/>
  <c r="L73" i="84"/>
  <c r="B73" i="84"/>
  <c r="X72" i="84"/>
  <c r="Z72" i="84" s="1"/>
  <c r="N72" i="84"/>
  <c r="L72" i="84"/>
  <c r="B72" i="84"/>
  <c r="Z71" i="84"/>
  <c r="X71" i="84"/>
  <c r="N71" i="84"/>
  <c r="L71" i="84"/>
  <c r="B71" i="84"/>
  <c r="X70" i="84"/>
  <c r="Z70" i="84" s="1"/>
  <c r="V70" i="84"/>
  <c r="N70" i="84"/>
  <c r="L70" i="84"/>
  <c r="B70" i="84"/>
  <c r="X69" i="84"/>
  <c r="Z69" i="84" s="1"/>
  <c r="N69" i="84"/>
  <c r="L69" i="84"/>
  <c r="B69" i="84"/>
  <c r="Z68" i="84"/>
  <c r="X68" i="84"/>
  <c r="L68" i="84"/>
  <c r="N68" i="84" s="1"/>
  <c r="B68" i="84"/>
  <c r="T67" i="84"/>
  <c r="P67" i="84"/>
  <c r="X67" i="84" s="1"/>
  <c r="L67" i="84"/>
  <c r="N67" i="84" s="1"/>
  <c r="H67" i="84"/>
  <c r="D67" i="84"/>
  <c r="B67" i="84"/>
  <c r="X66" i="84"/>
  <c r="Z66" i="84" s="1"/>
  <c r="V66" i="84"/>
  <c r="N66" i="84"/>
  <c r="L66" i="84"/>
  <c r="B66" i="84"/>
  <c r="X65" i="84"/>
  <c r="Z65" i="84" s="1"/>
  <c r="T65" i="84"/>
  <c r="P65" i="84"/>
  <c r="H65" i="84"/>
  <c r="D65" i="84"/>
  <c r="B65" i="84"/>
  <c r="X64" i="84"/>
  <c r="Z64" i="84" s="1"/>
  <c r="V64" i="84"/>
  <c r="N64" i="84"/>
  <c r="L64" i="84"/>
  <c r="B64" i="84"/>
  <c r="X63" i="84"/>
  <c r="Z63" i="84" s="1"/>
  <c r="V63" i="84"/>
  <c r="L63" i="84"/>
  <c r="N63" i="84" s="1"/>
  <c r="B63" i="84"/>
  <c r="Z62" i="84"/>
  <c r="X62" i="84"/>
  <c r="V62" i="84"/>
  <c r="N62" i="84"/>
  <c r="L62" i="84"/>
  <c r="B62" i="84"/>
  <c r="X61" i="84"/>
  <c r="Z61" i="84" s="1"/>
  <c r="N61" i="84"/>
  <c r="L61" i="84"/>
  <c r="B61" i="84"/>
  <c r="T60" i="84"/>
  <c r="P60" i="84"/>
  <c r="X60" i="84" s="1"/>
  <c r="Z60" i="84" s="1"/>
  <c r="L60" i="84"/>
  <c r="N60" i="84" s="1"/>
  <c r="J60" i="84"/>
  <c r="H60" i="84"/>
  <c r="D60" i="84"/>
  <c r="B60" i="84"/>
  <c r="X59" i="84"/>
  <c r="Z59" i="84" s="1"/>
  <c r="V59" i="84"/>
  <c r="L59" i="84"/>
  <c r="N59" i="84" s="1"/>
  <c r="B59" i="84"/>
  <c r="X58" i="84"/>
  <c r="Z58" i="84" s="1"/>
  <c r="V58" i="84"/>
  <c r="N58" i="84"/>
  <c r="L58" i="84"/>
  <c r="B58" i="84"/>
  <c r="X57" i="84"/>
  <c r="Z57" i="84" s="1"/>
  <c r="T57" i="84"/>
  <c r="P57" i="84"/>
  <c r="H57" i="84"/>
  <c r="D57" i="84"/>
  <c r="B57" i="84"/>
  <c r="X56" i="84"/>
  <c r="Z56" i="84" s="1"/>
  <c r="V56" i="84"/>
  <c r="N56" i="84"/>
  <c r="L56" i="84"/>
  <c r="B56" i="84"/>
  <c r="T55" i="84"/>
  <c r="P55" i="84"/>
  <c r="H55" i="84"/>
  <c r="N55" i="84" s="1"/>
  <c r="D55" i="84"/>
  <c r="L55" i="84" s="1"/>
  <c r="B55" i="84"/>
  <c r="Z54" i="84"/>
  <c r="X54" i="84"/>
  <c r="N54" i="84"/>
  <c r="L54" i="84"/>
  <c r="B54" i="84"/>
  <c r="T53" i="84"/>
  <c r="P53" i="84"/>
  <c r="X53" i="84" s="1"/>
  <c r="H53" i="84"/>
  <c r="N53" i="84" s="1"/>
  <c r="D53" i="84"/>
  <c r="L53" i="84" s="1"/>
  <c r="B53" i="84"/>
  <c r="Z52" i="84"/>
  <c r="X52" i="84"/>
  <c r="L52" i="84"/>
  <c r="N52" i="84" s="1"/>
  <c r="B52" i="84"/>
  <c r="T51" i="84"/>
  <c r="P51" i="84"/>
  <c r="X51" i="84" s="1"/>
  <c r="L51" i="84"/>
  <c r="N51" i="84" s="1"/>
  <c r="H51" i="84"/>
  <c r="D51" i="84"/>
  <c r="B51" i="84"/>
  <c r="Z50" i="84"/>
  <c r="X50" i="84"/>
  <c r="V50" i="84"/>
  <c r="N50" i="84"/>
  <c r="L50" i="84"/>
  <c r="B50" i="84"/>
  <c r="Z49" i="84"/>
  <c r="X49" i="84"/>
  <c r="N49" i="84"/>
  <c r="L49" i="84"/>
  <c r="B49" i="84"/>
  <c r="T48" i="84"/>
  <c r="P48" i="84"/>
  <c r="X48" i="84" s="1"/>
  <c r="Z48" i="84" s="1"/>
  <c r="N48" i="84"/>
  <c r="L48" i="84"/>
  <c r="H48" i="84"/>
  <c r="D48" i="84"/>
  <c r="B48" i="84"/>
  <c r="X47" i="84"/>
  <c r="Z47" i="84" s="1"/>
  <c r="V47" i="84"/>
  <c r="L47" i="84"/>
  <c r="N47" i="84" s="1"/>
  <c r="B47" i="84"/>
  <c r="Z46" i="84"/>
  <c r="X46" i="84"/>
  <c r="V46" i="84"/>
  <c r="T46" i="84"/>
  <c r="P46" i="84"/>
  <c r="H46" i="84"/>
  <c r="D46" i="84"/>
  <c r="B46" i="84"/>
  <c r="Z45" i="84"/>
  <c r="X45" i="84"/>
  <c r="N45" i="84"/>
  <c r="L45" i="84"/>
  <c r="B45" i="84"/>
  <c r="V44" i="84"/>
  <c r="T44" i="84"/>
  <c r="Z44" i="84" s="1"/>
  <c r="P44" i="84"/>
  <c r="N44" i="84"/>
  <c r="H44" i="84"/>
  <c r="D44" i="84"/>
  <c r="L44" i="84" s="1"/>
  <c r="B44" i="84"/>
  <c r="Z43" i="84"/>
  <c r="X43" i="84"/>
  <c r="N43" i="84"/>
  <c r="L43" i="84"/>
  <c r="B43" i="84"/>
  <c r="Z42" i="84"/>
  <c r="X42" i="84"/>
  <c r="N42" i="84"/>
  <c r="L42" i="84"/>
  <c r="B42" i="84"/>
  <c r="Z41" i="84"/>
  <c r="X41" i="84"/>
  <c r="L41" i="84"/>
  <c r="N41" i="84" s="1"/>
  <c r="B41" i="84"/>
  <c r="X40" i="84"/>
  <c r="Z40" i="84" s="1"/>
  <c r="V40" i="84"/>
  <c r="N40" i="84"/>
  <c r="L40" i="84"/>
  <c r="B40" i="84"/>
  <c r="Z39" i="84"/>
  <c r="X39" i="84"/>
  <c r="V39" i="84"/>
  <c r="N39" i="84"/>
  <c r="L39" i="84"/>
  <c r="B39" i="84"/>
  <c r="Z38" i="84"/>
  <c r="X38" i="84"/>
  <c r="V38" i="84"/>
  <c r="N38" i="84"/>
  <c r="L38" i="84"/>
  <c r="B38" i="84"/>
  <c r="X37" i="84"/>
  <c r="Z37" i="84" s="1"/>
  <c r="N37" i="84"/>
  <c r="L37" i="84"/>
  <c r="B37" i="84"/>
  <c r="Z36" i="84"/>
  <c r="X36" i="84"/>
  <c r="N36" i="84"/>
  <c r="L36" i="84"/>
  <c r="B36" i="84"/>
  <c r="Z35" i="84"/>
  <c r="X35" i="84"/>
  <c r="N35" i="84"/>
  <c r="L35" i="84"/>
  <c r="B35" i="84"/>
  <c r="Z34" i="84"/>
  <c r="X34" i="84"/>
  <c r="N34" i="84"/>
  <c r="L34" i="84"/>
  <c r="B34" i="84"/>
  <c r="T33" i="84"/>
  <c r="Z33" i="84" s="1"/>
  <c r="P33" i="84"/>
  <c r="X33" i="84" s="1"/>
  <c r="H33" i="84"/>
  <c r="D33" i="84"/>
  <c r="L33" i="84" s="1"/>
  <c r="B33" i="84"/>
  <c r="Z32" i="84"/>
  <c r="X32" i="84"/>
  <c r="V32" i="84"/>
  <c r="L32" i="84"/>
  <c r="N32" i="84" s="1"/>
  <c r="B32" i="84"/>
  <c r="X31" i="84"/>
  <c r="Z31" i="84" s="1"/>
  <c r="L31" i="84"/>
  <c r="N31" i="84" s="1"/>
  <c r="B31" i="84"/>
  <c r="Z30" i="84"/>
  <c r="X30" i="84"/>
  <c r="N30" i="84"/>
  <c r="L30" i="84"/>
  <c r="B30" i="84"/>
  <c r="Z29" i="84"/>
  <c r="X29" i="84"/>
  <c r="N29" i="84"/>
  <c r="L29" i="84"/>
  <c r="B29" i="84"/>
  <c r="Z28" i="84"/>
  <c r="X28" i="84"/>
  <c r="V28" i="84"/>
  <c r="N28" i="84"/>
  <c r="L28" i="84"/>
  <c r="B28" i="84"/>
  <c r="X27" i="84"/>
  <c r="Z27" i="84" s="1"/>
  <c r="V27" i="84"/>
  <c r="L27" i="84"/>
  <c r="N27" i="84" s="1"/>
  <c r="B27" i="84"/>
  <c r="Z26" i="84"/>
  <c r="X26" i="84"/>
  <c r="V26" i="84"/>
  <c r="N26" i="84"/>
  <c r="L26" i="84"/>
  <c r="B26" i="84"/>
  <c r="X25" i="84"/>
  <c r="Z25" i="84" s="1"/>
  <c r="N25" i="84"/>
  <c r="L25" i="84"/>
  <c r="B25" i="84"/>
  <c r="Z24" i="84"/>
  <c r="X24" i="84"/>
  <c r="V24" i="84"/>
  <c r="L24" i="84"/>
  <c r="N24" i="84" s="1"/>
  <c r="B24" i="84"/>
  <c r="T23" i="84"/>
  <c r="Z23" i="84" s="1"/>
  <c r="P23" i="84"/>
  <c r="X23" i="84" s="1"/>
  <c r="L23" i="84"/>
  <c r="N23" i="84" s="1"/>
  <c r="H23" i="84"/>
  <c r="D23" i="84"/>
  <c r="B23" i="84"/>
  <c r="Z22" i="84"/>
  <c r="X22" i="84"/>
  <c r="V22" i="84"/>
  <c r="T22" i="84"/>
  <c r="P22" i="84"/>
  <c r="H22" i="84"/>
  <c r="D22" i="84"/>
  <c r="L22" i="84" s="1"/>
  <c r="Z18" i="84"/>
  <c r="X18" i="84"/>
  <c r="V18" i="84"/>
  <c r="N18" i="84"/>
  <c r="L18" i="84"/>
  <c r="B18" i="84"/>
  <c r="X17" i="84"/>
  <c r="Z17" i="84" s="1"/>
  <c r="V17" i="84"/>
  <c r="N17" i="84"/>
  <c r="L17" i="84"/>
  <c r="B17" i="84"/>
  <c r="Z16" i="84"/>
  <c r="X16" i="84"/>
  <c r="V16" i="84"/>
  <c r="T16" i="84"/>
  <c r="P16" i="84"/>
  <c r="L16" i="84"/>
  <c r="N16" i="84" s="1"/>
  <c r="J16" i="84"/>
  <c r="H16" i="84"/>
  <c r="D16" i="84"/>
  <c r="P14" i="84"/>
  <c r="X14" i="84" s="1"/>
  <c r="Z14" i="84" s="1"/>
  <c r="L14" i="84"/>
  <c r="N14" i="84" s="1"/>
  <c r="D14" i="84"/>
  <c r="B14" i="84"/>
  <c r="P13" i="84"/>
  <c r="X13" i="84" s="1"/>
  <c r="Z13" i="84" s="1"/>
  <c r="D13" i="84"/>
  <c r="B13" i="84"/>
  <c r="T12" i="84"/>
  <c r="H12" i="84"/>
  <c r="D6" i="84"/>
  <c r="D4" i="84"/>
  <c r="X94" i="83"/>
  <c r="Z94" i="83" s="1"/>
  <c r="N94" i="83"/>
  <c r="L94" i="83"/>
  <c r="Z90" i="83"/>
  <c r="X90" i="83"/>
  <c r="P90" i="83"/>
  <c r="N90" i="83"/>
  <c r="L90" i="83"/>
  <c r="D90" i="83"/>
  <c r="B90" i="83"/>
  <c r="T89" i="83"/>
  <c r="Z89" i="83" s="1"/>
  <c r="P89" i="83"/>
  <c r="X89" i="83" s="1"/>
  <c r="N89" i="83"/>
  <c r="H89" i="83"/>
  <c r="D89" i="83"/>
  <c r="L89" i="83" s="1"/>
  <c r="X87" i="83"/>
  <c r="Z87" i="83" s="1"/>
  <c r="N87" i="83"/>
  <c r="L87" i="83"/>
  <c r="B87" i="83"/>
  <c r="Z86" i="83"/>
  <c r="X86" i="83"/>
  <c r="T86" i="83"/>
  <c r="P86" i="83"/>
  <c r="L86" i="83"/>
  <c r="N86" i="83" s="1"/>
  <c r="J86" i="83"/>
  <c r="H86" i="83"/>
  <c r="D86" i="83"/>
  <c r="B86" i="83"/>
  <c r="X85" i="83"/>
  <c r="Z85" i="83" s="1"/>
  <c r="N85" i="83"/>
  <c r="L85" i="83"/>
  <c r="B85" i="83"/>
  <c r="X84" i="83"/>
  <c r="Z84" i="83" s="1"/>
  <c r="V84" i="83"/>
  <c r="T84" i="83"/>
  <c r="P84" i="83"/>
  <c r="H84" i="83"/>
  <c r="N84" i="83" s="1"/>
  <c r="D84" i="83"/>
  <c r="L84" i="83" s="1"/>
  <c r="B84" i="83"/>
  <c r="Z83" i="83"/>
  <c r="X83" i="83"/>
  <c r="L83" i="83"/>
  <c r="N83" i="83" s="1"/>
  <c r="B83" i="83"/>
  <c r="X82" i="83"/>
  <c r="Z82" i="83" s="1"/>
  <c r="N82" i="83"/>
  <c r="L82" i="83"/>
  <c r="B82" i="83"/>
  <c r="T81" i="83"/>
  <c r="P81" i="83"/>
  <c r="H81" i="83"/>
  <c r="D81" i="83"/>
  <c r="L81" i="83" s="1"/>
  <c r="B81" i="83"/>
  <c r="Z80" i="83"/>
  <c r="X80" i="83"/>
  <c r="N80" i="83"/>
  <c r="L80" i="83"/>
  <c r="J80" i="83"/>
  <c r="B80" i="83"/>
  <c r="Z79" i="83"/>
  <c r="X79" i="83"/>
  <c r="N79" i="83"/>
  <c r="L79" i="83"/>
  <c r="B79" i="83"/>
  <c r="Z78" i="83"/>
  <c r="X78" i="83"/>
  <c r="N78" i="83"/>
  <c r="L78" i="83"/>
  <c r="B78" i="83"/>
  <c r="X77" i="83"/>
  <c r="Z77" i="83" s="1"/>
  <c r="N77" i="83"/>
  <c r="L77" i="83"/>
  <c r="B77" i="83"/>
  <c r="X76" i="83"/>
  <c r="Z76" i="83" s="1"/>
  <c r="V76" i="83"/>
  <c r="N76" i="83"/>
  <c r="L76" i="83"/>
  <c r="B76" i="83"/>
  <c r="X75" i="83"/>
  <c r="Z75" i="83" s="1"/>
  <c r="N75" i="83"/>
  <c r="L75" i="83"/>
  <c r="B75" i="83"/>
  <c r="Z74" i="83"/>
  <c r="X74" i="83"/>
  <c r="T74" i="83"/>
  <c r="P74" i="83"/>
  <c r="L74" i="83"/>
  <c r="N74" i="83" s="1"/>
  <c r="J74" i="83"/>
  <c r="H74" i="83"/>
  <c r="D74" i="83"/>
  <c r="B74" i="83"/>
  <c r="X73" i="83"/>
  <c r="Z73" i="83" s="1"/>
  <c r="L73" i="83"/>
  <c r="N73" i="83" s="1"/>
  <c r="B73" i="83"/>
  <c r="X72" i="83"/>
  <c r="Z72" i="83" s="1"/>
  <c r="V72" i="83"/>
  <c r="T72" i="83"/>
  <c r="P72" i="83"/>
  <c r="H72" i="83"/>
  <c r="D72" i="83"/>
  <c r="L72" i="83" s="1"/>
  <c r="B72" i="83"/>
  <c r="Z71" i="83"/>
  <c r="X71" i="83"/>
  <c r="L71" i="83"/>
  <c r="N71" i="83" s="1"/>
  <c r="B71" i="83"/>
  <c r="X70" i="83"/>
  <c r="Z70" i="83" s="1"/>
  <c r="N70" i="83"/>
  <c r="L70" i="83"/>
  <c r="B70" i="83"/>
  <c r="X69" i="83"/>
  <c r="Z69" i="83" s="1"/>
  <c r="L69" i="83"/>
  <c r="N69" i="83" s="1"/>
  <c r="B69" i="83"/>
  <c r="X68" i="83"/>
  <c r="Z68" i="83" s="1"/>
  <c r="V68" i="83"/>
  <c r="N68" i="83"/>
  <c r="L68" i="83"/>
  <c r="B68" i="83"/>
  <c r="X67" i="83"/>
  <c r="Z67" i="83" s="1"/>
  <c r="T67" i="83"/>
  <c r="P67" i="83"/>
  <c r="H67" i="83"/>
  <c r="D67" i="83"/>
  <c r="B67" i="83"/>
  <c r="X66" i="83"/>
  <c r="Z66" i="83" s="1"/>
  <c r="N66" i="83"/>
  <c r="L66" i="83"/>
  <c r="B66" i="83"/>
  <c r="X65" i="83"/>
  <c r="Z65" i="83" s="1"/>
  <c r="L65" i="83"/>
  <c r="N65" i="83" s="1"/>
  <c r="B65" i="83"/>
  <c r="X64" i="83"/>
  <c r="Z64" i="83" s="1"/>
  <c r="V64" i="83"/>
  <c r="T64" i="83"/>
  <c r="P64" i="83"/>
  <c r="H64" i="83"/>
  <c r="N64" i="83" s="1"/>
  <c r="D64" i="83"/>
  <c r="L64" i="83" s="1"/>
  <c r="B64" i="83"/>
  <c r="X63" i="83"/>
  <c r="Z63" i="83" s="1"/>
  <c r="L63" i="83"/>
  <c r="N63" i="83" s="1"/>
  <c r="B63" i="83"/>
  <c r="T62" i="83"/>
  <c r="P62" i="83"/>
  <c r="X62" i="83" s="1"/>
  <c r="H62" i="83"/>
  <c r="D62" i="83"/>
  <c r="L62" i="83" s="1"/>
  <c r="N62" i="83" s="1"/>
  <c r="B62" i="83"/>
  <c r="X61" i="83"/>
  <c r="Z61" i="83" s="1"/>
  <c r="L61" i="83"/>
  <c r="N61" i="83" s="1"/>
  <c r="B61" i="83"/>
  <c r="T60" i="83"/>
  <c r="P60" i="83"/>
  <c r="X60" i="83" s="1"/>
  <c r="Z60" i="83" s="1"/>
  <c r="H60" i="83"/>
  <c r="D60" i="83"/>
  <c r="L60" i="83" s="1"/>
  <c r="N60" i="83" s="1"/>
  <c r="B60" i="83"/>
  <c r="X59" i="83"/>
  <c r="Z59" i="83" s="1"/>
  <c r="N59" i="83"/>
  <c r="L59" i="83"/>
  <c r="B59" i="83"/>
  <c r="T58" i="83"/>
  <c r="P58" i="83"/>
  <c r="X58" i="83" s="1"/>
  <c r="Z58" i="83" s="1"/>
  <c r="N58" i="83"/>
  <c r="L58" i="83"/>
  <c r="J58" i="83"/>
  <c r="H58" i="83"/>
  <c r="D58" i="83"/>
  <c r="B58" i="83"/>
  <c r="X57" i="83"/>
  <c r="Z57" i="83" s="1"/>
  <c r="N57" i="83"/>
  <c r="L57" i="83"/>
  <c r="B57" i="83"/>
  <c r="X56" i="83"/>
  <c r="Z56" i="83" s="1"/>
  <c r="V56" i="83"/>
  <c r="T56" i="83"/>
  <c r="P56" i="83"/>
  <c r="H56" i="83"/>
  <c r="N56" i="83" s="1"/>
  <c r="D56" i="83"/>
  <c r="L56" i="83" s="1"/>
  <c r="B56" i="83"/>
  <c r="Z55" i="83"/>
  <c r="X55" i="83"/>
  <c r="L55" i="83"/>
  <c r="N55" i="83" s="1"/>
  <c r="B55" i="83"/>
  <c r="Z54" i="83"/>
  <c r="X54" i="83"/>
  <c r="N54" i="83"/>
  <c r="L54" i="83"/>
  <c r="B54" i="83"/>
  <c r="T53" i="83"/>
  <c r="P53" i="83"/>
  <c r="H53" i="83"/>
  <c r="D53" i="83"/>
  <c r="L53" i="83" s="1"/>
  <c r="B53" i="83"/>
  <c r="Z52" i="83"/>
  <c r="X52" i="83"/>
  <c r="L52" i="83"/>
  <c r="N52" i="83" s="1"/>
  <c r="J52" i="83"/>
  <c r="B52" i="83"/>
  <c r="T51" i="83"/>
  <c r="P51" i="83"/>
  <c r="X51" i="83" s="1"/>
  <c r="H51" i="83"/>
  <c r="D51" i="83"/>
  <c r="L51" i="83" s="1"/>
  <c r="N51" i="83" s="1"/>
  <c r="B51" i="83"/>
  <c r="Z50" i="83"/>
  <c r="X50" i="83"/>
  <c r="N50" i="83"/>
  <c r="L50" i="83"/>
  <c r="B50" i="83"/>
  <c r="T49" i="83"/>
  <c r="P49" i="83"/>
  <c r="X49" i="83" s="1"/>
  <c r="Z49" i="83" s="1"/>
  <c r="L49" i="83"/>
  <c r="N49" i="83" s="1"/>
  <c r="H49" i="83"/>
  <c r="D49" i="83"/>
  <c r="B49" i="83"/>
  <c r="Z48" i="83"/>
  <c r="X48" i="83"/>
  <c r="V48" i="83"/>
  <c r="N48" i="83"/>
  <c r="L48" i="83"/>
  <c r="B48" i="83"/>
  <c r="Z47" i="83"/>
  <c r="X47" i="83"/>
  <c r="T47" i="83"/>
  <c r="P47" i="83"/>
  <c r="H47" i="83"/>
  <c r="D47" i="83"/>
  <c r="B47" i="83"/>
  <c r="Z46" i="83"/>
  <c r="X46" i="83"/>
  <c r="N46" i="83"/>
  <c r="L46" i="83"/>
  <c r="B46" i="83"/>
  <c r="Z45" i="83"/>
  <c r="X45" i="83"/>
  <c r="N45" i="83"/>
  <c r="L45" i="83"/>
  <c r="B45" i="83"/>
  <c r="X44" i="83"/>
  <c r="Z44" i="83" s="1"/>
  <c r="V44" i="83"/>
  <c r="N44" i="83"/>
  <c r="L44" i="83"/>
  <c r="B44" i="83"/>
  <c r="X43" i="83"/>
  <c r="Z43" i="83" s="1"/>
  <c r="N43" i="83"/>
  <c r="L43" i="83"/>
  <c r="B43" i="83"/>
  <c r="Z42" i="83"/>
  <c r="X42" i="83"/>
  <c r="N42" i="83"/>
  <c r="L42" i="83"/>
  <c r="B42" i="83"/>
  <c r="Z41" i="83"/>
  <c r="X41" i="83"/>
  <c r="N41" i="83"/>
  <c r="L41" i="83"/>
  <c r="J41" i="83"/>
  <c r="B41" i="83"/>
  <c r="Z40" i="83"/>
  <c r="X40" i="83"/>
  <c r="L40" i="83"/>
  <c r="N40" i="83" s="1"/>
  <c r="J40" i="83"/>
  <c r="B40" i="83"/>
  <c r="Z39" i="83"/>
  <c r="X39" i="83"/>
  <c r="N39" i="83"/>
  <c r="L39" i="83"/>
  <c r="B39" i="83"/>
  <c r="Z38" i="83"/>
  <c r="X38" i="83"/>
  <c r="N38" i="83"/>
  <c r="L38" i="83"/>
  <c r="B38" i="83"/>
  <c r="Z37" i="83"/>
  <c r="X37" i="83"/>
  <c r="N37" i="83"/>
  <c r="L37" i="83"/>
  <c r="B37" i="83"/>
  <c r="X36" i="83"/>
  <c r="Z36" i="83" s="1"/>
  <c r="V36" i="83"/>
  <c r="T36" i="83"/>
  <c r="P36" i="83"/>
  <c r="H36" i="83"/>
  <c r="D36" i="83"/>
  <c r="L36" i="83" s="1"/>
  <c r="B36" i="83"/>
  <c r="X35" i="83"/>
  <c r="Z35" i="83" s="1"/>
  <c r="L35" i="83"/>
  <c r="N35" i="83" s="1"/>
  <c r="B35" i="83"/>
  <c r="Z34" i="83"/>
  <c r="X34" i="83"/>
  <c r="N34" i="83"/>
  <c r="L34" i="83"/>
  <c r="B34" i="83"/>
  <c r="X33" i="83"/>
  <c r="Z33" i="83" s="1"/>
  <c r="N33" i="83"/>
  <c r="L33" i="83"/>
  <c r="B33" i="83"/>
  <c r="Z32" i="83"/>
  <c r="X32" i="83"/>
  <c r="V32" i="83"/>
  <c r="N32" i="83"/>
  <c r="L32" i="83"/>
  <c r="B32" i="83"/>
  <c r="X31" i="83"/>
  <c r="Z31" i="83" s="1"/>
  <c r="N31" i="83"/>
  <c r="L31" i="83"/>
  <c r="B31" i="83"/>
  <c r="Z30" i="83"/>
  <c r="X30" i="83"/>
  <c r="N30" i="83"/>
  <c r="L30" i="83"/>
  <c r="J30" i="83"/>
  <c r="B30" i="83"/>
  <c r="Z29" i="83"/>
  <c r="X29" i="83"/>
  <c r="L29" i="83"/>
  <c r="N29" i="83" s="1"/>
  <c r="J29" i="83"/>
  <c r="B29" i="83"/>
  <c r="Z28" i="83"/>
  <c r="X28" i="83"/>
  <c r="L28" i="83"/>
  <c r="N28" i="83" s="1"/>
  <c r="J28" i="83"/>
  <c r="B28" i="83"/>
  <c r="Z27" i="83"/>
  <c r="X27" i="83"/>
  <c r="L27" i="83"/>
  <c r="N27" i="83" s="1"/>
  <c r="B27" i="83"/>
  <c r="T26" i="83"/>
  <c r="Z26" i="83" s="1"/>
  <c r="P26" i="83"/>
  <c r="X26" i="83" s="1"/>
  <c r="H26" i="83"/>
  <c r="D26" i="83"/>
  <c r="L26" i="83" s="1"/>
  <c r="N26" i="83" s="1"/>
  <c r="B26" i="83"/>
  <c r="T25" i="83"/>
  <c r="P25" i="83"/>
  <c r="X25" i="83" s="1"/>
  <c r="L25" i="83"/>
  <c r="N25" i="83" s="1"/>
  <c r="H25" i="83"/>
  <c r="D25" i="83"/>
  <c r="T23" i="83"/>
  <c r="H23" i="83"/>
  <c r="Z21" i="83"/>
  <c r="X21" i="83"/>
  <c r="N21" i="83"/>
  <c r="L21" i="83"/>
  <c r="J21" i="83"/>
  <c r="B21" i="83"/>
  <c r="Z20" i="83"/>
  <c r="X20" i="83"/>
  <c r="N20" i="83"/>
  <c r="L20" i="83"/>
  <c r="J20" i="83"/>
  <c r="B20" i="83"/>
  <c r="X19" i="83"/>
  <c r="Z19" i="83" s="1"/>
  <c r="L19" i="83"/>
  <c r="N19" i="83" s="1"/>
  <c r="B19" i="83"/>
  <c r="T18" i="83"/>
  <c r="P18" i="83"/>
  <c r="X18" i="83" s="1"/>
  <c r="H18" i="83"/>
  <c r="D18" i="83"/>
  <c r="L18" i="83" s="1"/>
  <c r="N18" i="83" s="1"/>
  <c r="Z16" i="83"/>
  <c r="P16" i="83"/>
  <c r="X16" i="83" s="1"/>
  <c r="N16" i="83"/>
  <c r="L16" i="83"/>
  <c r="D16" i="83"/>
  <c r="B16" i="83"/>
  <c r="X15" i="83"/>
  <c r="Z15" i="83" s="1"/>
  <c r="P15" i="83"/>
  <c r="D15" i="83"/>
  <c r="L15" i="83" s="1"/>
  <c r="N15" i="83" s="1"/>
  <c r="B15" i="83"/>
  <c r="Z14" i="83"/>
  <c r="P14" i="83"/>
  <c r="N14" i="83"/>
  <c r="L14" i="83"/>
  <c r="D14" i="83"/>
  <c r="B14" i="83"/>
  <c r="P13" i="83"/>
  <c r="X13" i="83" s="1"/>
  <c r="Z13" i="83" s="1"/>
  <c r="D13" i="83"/>
  <c r="L13" i="83" s="1"/>
  <c r="N13" i="83" s="1"/>
  <c r="B13" i="83"/>
  <c r="T12" i="83"/>
  <c r="V87" i="83" s="1"/>
  <c r="H12" i="83"/>
  <c r="J83" i="83" s="1"/>
  <c r="D6" i="83"/>
  <c r="D4" i="83"/>
  <c r="J33" i="82"/>
  <c r="F33" i="82"/>
  <c r="R30" i="82"/>
  <c r="Z28" i="82"/>
  <c r="X28" i="82"/>
  <c r="N28" i="82"/>
  <c r="L28" i="82"/>
  <c r="J26" i="82"/>
  <c r="F26" i="82"/>
  <c r="Z24" i="82"/>
  <c r="T24" i="82"/>
  <c r="R24" i="82"/>
  <c r="P24" i="82"/>
  <c r="X24" i="82" s="1"/>
  <c r="N24" i="82"/>
  <c r="L24" i="82"/>
  <c r="H24" i="82"/>
  <c r="D24" i="82"/>
  <c r="Z22" i="82"/>
  <c r="X22" i="82"/>
  <c r="N22" i="82"/>
  <c r="L22" i="82"/>
  <c r="B22" i="82"/>
  <c r="Z21" i="82"/>
  <c r="X21" i="82"/>
  <c r="T21" i="82"/>
  <c r="P21" i="82"/>
  <c r="J21" i="82"/>
  <c r="H21" i="82"/>
  <c r="N21" i="82" s="1"/>
  <c r="D21" i="82"/>
  <c r="B21" i="82"/>
  <c r="Z20" i="82"/>
  <c r="X20" i="82"/>
  <c r="R20" i="82"/>
  <c r="N20" i="82"/>
  <c r="L20" i="82"/>
  <c r="B20" i="82"/>
  <c r="T19" i="82"/>
  <c r="Z19" i="82" s="1"/>
  <c r="P19" i="82"/>
  <c r="H19" i="82"/>
  <c r="N19" i="82" s="1"/>
  <c r="F19" i="82"/>
  <c r="D19" i="82"/>
  <c r="L19" i="82" s="1"/>
  <c r="B19" i="82"/>
  <c r="Z18" i="82"/>
  <c r="T18" i="82"/>
  <c r="R18" i="82"/>
  <c r="P18" i="82"/>
  <c r="X18" i="82" s="1"/>
  <c r="N18" i="82"/>
  <c r="H18" i="82"/>
  <c r="F18" i="82"/>
  <c r="D18" i="82"/>
  <c r="L18" i="82" s="1"/>
  <c r="R16" i="82"/>
  <c r="J16" i="82"/>
  <c r="H16" i="82"/>
  <c r="N16" i="82" s="1"/>
  <c r="F16" i="82"/>
  <c r="Z14" i="82"/>
  <c r="T14" i="82"/>
  <c r="R14" i="82"/>
  <c r="P14" i="82"/>
  <c r="X14" i="82" s="1"/>
  <c r="N14" i="82"/>
  <c r="H14" i="82"/>
  <c r="F14" i="82"/>
  <c r="D14" i="82"/>
  <c r="L14" i="82" s="1"/>
  <c r="Z12" i="82"/>
  <c r="T12" i="82"/>
  <c r="P12" i="82"/>
  <c r="R28" i="82" s="1"/>
  <c r="H12" i="82"/>
  <c r="J30" i="82" s="1"/>
  <c r="D12" i="82"/>
  <c r="F21" i="82" s="1"/>
  <c r="D6" i="82"/>
  <c r="D4" i="82"/>
  <c r="J35" i="81"/>
  <c r="R32" i="81"/>
  <c r="F32" i="81"/>
  <c r="Z30" i="81"/>
  <c r="X30" i="81"/>
  <c r="N30" i="81"/>
  <c r="L30" i="81"/>
  <c r="J30" i="81"/>
  <c r="F30" i="81"/>
  <c r="J28" i="81"/>
  <c r="T26" i="81"/>
  <c r="R26" i="81"/>
  <c r="P26" i="81"/>
  <c r="N26" i="81"/>
  <c r="H26" i="81"/>
  <c r="F26" i="81"/>
  <c r="D26" i="81"/>
  <c r="L26" i="81" s="1"/>
  <c r="Z24" i="81"/>
  <c r="X24" i="81"/>
  <c r="N24" i="81"/>
  <c r="L24" i="81"/>
  <c r="J24" i="81"/>
  <c r="F24" i="81"/>
  <c r="B24" i="81"/>
  <c r="T23" i="81"/>
  <c r="Z23" i="81" s="1"/>
  <c r="P23" i="81"/>
  <c r="X23" i="81" s="1"/>
  <c r="N23" i="81"/>
  <c r="L23" i="81"/>
  <c r="H23" i="81"/>
  <c r="D23" i="81"/>
  <c r="B23" i="81"/>
  <c r="Z22" i="81"/>
  <c r="X22" i="81"/>
  <c r="N22" i="81"/>
  <c r="L22" i="81"/>
  <c r="B22" i="81"/>
  <c r="Z21" i="81"/>
  <c r="X21" i="81"/>
  <c r="T21" i="81"/>
  <c r="P21" i="81"/>
  <c r="J21" i="81"/>
  <c r="H21" i="81"/>
  <c r="N21" i="81" s="1"/>
  <c r="D21" i="81"/>
  <c r="B21" i="81"/>
  <c r="Z20" i="81"/>
  <c r="X20" i="81"/>
  <c r="V20" i="81"/>
  <c r="R20" i="81"/>
  <c r="N20" i="81"/>
  <c r="L20" i="81"/>
  <c r="B20" i="81"/>
  <c r="X19" i="81"/>
  <c r="V19" i="81"/>
  <c r="T19" i="81"/>
  <c r="P19" i="81"/>
  <c r="H19" i="81"/>
  <c r="F19" i="81"/>
  <c r="D19" i="81"/>
  <c r="L19" i="81" s="1"/>
  <c r="B19" i="81"/>
  <c r="T18" i="81"/>
  <c r="Z18" i="81" s="1"/>
  <c r="R18" i="81"/>
  <c r="P18" i="81"/>
  <c r="X18" i="81" s="1"/>
  <c r="N18" i="81"/>
  <c r="H18" i="81"/>
  <c r="D18" i="81"/>
  <c r="L18" i="81" s="1"/>
  <c r="V16" i="81"/>
  <c r="R16" i="81"/>
  <c r="J16" i="81"/>
  <c r="H16" i="81"/>
  <c r="F16" i="81"/>
  <c r="T14" i="81"/>
  <c r="Z14" i="81" s="1"/>
  <c r="R14" i="81"/>
  <c r="P14" i="81"/>
  <c r="N14" i="81"/>
  <c r="H14" i="81"/>
  <c r="D14" i="81"/>
  <c r="L14" i="81" s="1"/>
  <c r="Z12" i="81"/>
  <c r="T12" i="81"/>
  <c r="P12" i="81"/>
  <c r="R22" i="81" s="1"/>
  <c r="H12" i="81"/>
  <c r="J23" i="81" s="1"/>
  <c r="D12" i="81"/>
  <c r="F21" i="81" s="1"/>
  <c r="D6" i="81"/>
  <c r="D4" i="81"/>
  <c r="Z32" i="80"/>
  <c r="X32" i="80"/>
  <c r="R32" i="80"/>
  <c r="N32" i="80"/>
  <c r="L32" i="80"/>
  <c r="T28" i="80"/>
  <c r="Z28" i="80" s="1"/>
  <c r="P28" i="80"/>
  <c r="X28" i="80" s="1"/>
  <c r="N28" i="80"/>
  <c r="L28" i="80"/>
  <c r="H28" i="80"/>
  <c r="D28" i="80"/>
  <c r="Z26" i="80"/>
  <c r="X26" i="80"/>
  <c r="R26" i="80"/>
  <c r="N26" i="80"/>
  <c r="L26" i="80"/>
  <c r="B26" i="80"/>
  <c r="Z25" i="80"/>
  <c r="X25" i="80"/>
  <c r="V25" i="80"/>
  <c r="T25" i="80"/>
  <c r="P25" i="80"/>
  <c r="L25" i="80"/>
  <c r="J25" i="80"/>
  <c r="H25" i="80"/>
  <c r="N25" i="80" s="1"/>
  <c r="D25" i="80"/>
  <c r="B25" i="80"/>
  <c r="Z24" i="80"/>
  <c r="X24" i="80"/>
  <c r="V24" i="80"/>
  <c r="R24" i="80"/>
  <c r="N24" i="80"/>
  <c r="L24" i="80"/>
  <c r="B24" i="80"/>
  <c r="X23" i="80"/>
  <c r="V23" i="80"/>
  <c r="T23" i="80"/>
  <c r="Z23" i="80" s="1"/>
  <c r="R23" i="80"/>
  <c r="P23" i="80"/>
  <c r="H23" i="80"/>
  <c r="N23" i="80" s="1"/>
  <c r="D23" i="80"/>
  <c r="L23" i="80" s="1"/>
  <c r="B23" i="80"/>
  <c r="Z22" i="80"/>
  <c r="X22" i="80"/>
  <c r="N22" i="80"/>
  <c r="L22" i="80"/>
  <c r="B22" i="80"/>
  <c r="T21" i="80"/>
  <c r="Z21" i="80" s="1"/>
  <c r="R21" i="80"/>
  <c r="P21" i="80"/>
  <c r="X21" i="80" s="1"/>
  <c r="N21" i="80"/>
  <c r="H21" i="80"/>
  <c r="D21" i="80"/>
  <c r="L21" i="80" s="1"/>
  <c r="B21" i="80"/>
  <c r="X20" i="80"/>
  <c r="Z20" i="80" s="1"/>
  <c r="N20" i="80"/>
  <c r="L20" i="80"/>
  <c r="J20" i="80"/>
  <c r="B20" i="80"/>
  <c r="Z19" i="80"/>
  <c r="T19" i="80"/>
  <c r="P19" i="80"/>
  <c r="X19" i="80" s="1"/>
  <c r="N19" i="80"/>
  <c r="L19" i="80"/>
  <c r="J19" i="80"/>
  <c r="H19" i="80"/>
  <c r="D19" i="80"/>
  <c r="B19" i="80"/>
  <c r="V18" i="80"/>
  <c r="T18" i="80"/>
  <c r="P18" i="80"/>
  <c r="J18" i="80"/>
  <c r="H18" i="80"/>
  <c r="D18" i="80"/>
  <c r="R16" i="80"/>
  <c r="P16" i="80"/>
  <c r="V14" i="80"/>
  <c r="T14" i="80"/>
  <c r="Z14" i="80" s="1"/>
  <c r="P14" i="80"/>
  <c r="J14" i="80"/>
  <c r="H14" i="80"/>
  <c r="N14" i="80" s="1"/>
  <c r="D14" i="80"/>
  <c r="L14" i="80" s="1"/>
  <c r="X12" i="80"/>
  <c r="T12" i="80"/>
  <c r="V37" i="80" s="1"/>
  <c r="P12" i="80"/>
  <c r="R37" i="80" s="1"/>
  <c r="N12" i="80"/>
  <c r="L12" i="80"/>
  <c r="H12" i="80"/>
  <c r="J34" i="80" s="1"/>
  <c r="D12" i="80"/>
  <c r="F22" i="80" s="1"/>
  <c r="D6" i="80"/>
  <c r="D4" i="80"/>
  <c r="Z75" i="79"/>
  <c r="X75" i="79"/>
  <c r="R75" i="79"/>
  <c r="N75" i="79"/>
  <c r="L75" i="79"/>
  <c r="Z71" i="79"/>
  <c r="X71" i="79"/>
  <c r="P71" i="79"/>
  <c r="N71" i="79"/>
  <c r="J71" i="79"/>
  <c r="D71" i="79"/>
  <c r="B71" i="79"/>
  <c r="T70" i="79"/>
  <c r="Z70" i="79" s="1"/>
  <c r="R70" i="79"/>
  <c r="P70" i="79"/>
  <c r="X70" i="79" s="1"/>
  <c r="N70" i="79"/>
  <c r="H70" i="79"/>
  <c r="Z68" i="79"/>
  <c r="X68" i="79"/>
  <c r="L68" i="79"/>
  <c r="N68" i="79" s="1"/>
  <c r="B68" i="79"/>
  <c r="X67" i="79"/>
  <c r="Z67" i="79" s="1"/>
  <c r="T67" i="79"/>
  <c r="P67" i="79"/>
  <c r="L67" i="79"/>
  <c r="H67" i="79"/>
  <c r="D67" i="79"/>
  <c r="B67" i="79"/>
  <c r="Z66" i="79"/>
  <c r="X66" i="79"/>
  <c r="N66" i="79"/>
  <c r="L66" i="79"/>
  <c r="B66" i="79"/>
  <c r="X65" i="79"/>
  <c r="T65" i="79"/>
  <c r="Z65" i="79" s="1"/>
  <c r="P65" i="79"/>
  <c r="H65" i="79"/>
  <c r="N65" i="79" s="1"/>
  <c r="D65" i="79"/>
  <c r="L65" i="79" s="1"/>
  <c r="B65" i="79"/>
  <c r="Z64" i="79"/>
  <c r="X64" i="79"/>
  <c r="N64" i="79"/>
  <c r="L64" i="79"/>
  <c r="J64" i="79"/>
  <c r="B64" i="79"/>
  <c r="T63" i="79"/>
  <c r="Z63" i="79" s="1"/>
  <c r="P63" i="79"/>
  <c r="H63" i="79"/>
  <c r="N63" i="79" s="1"/>
  <c r="D63" i="79"/>
  <c r="L63" i="79" s="1"/>
  <c r="B63" i="79"/>
  <c r="Z62" i="79"/>
  <c r="X62" i="79"/>
  <c r="N62" i="79"/>
  <c r="L62" i="79"/>
  <c r="J62" i="79"/>
  <c r="B62" i="79"/>
  <c r="T61" i="79"/>
  <c r="Z61" i="79" s="1"/>
  <c r="P61" i="79"/>
  <c r="X61" i="79" s="1"/>
  <c r="L61" i="79"/>
  <c r="H61" i="79"/>
  <c r="N61" i="79" s="1"/>
  <c r="D61" i="79"/>
  <c r="B61" i="79"/>
  <c r="Z60" i="79"/>
  <c r="X60" i="79"/>
  <c r="N60" i="79"/>
  <c r="L60" i="79"/>
  <c r="B60" i="79"/>
  <c r="Z59" i="79"/>
  <c r="X59" i="79"/>
  <c r="N59" i="79"/>
  <c r="L59" i="79"/>
  <c r="F59" i="79"/>
  <c r="B59" i="79"/>
  <c r="Z58" i="79"/>
  <c r="X58" i="79"/>
  <c r="L58" i="79"/>
  <c r="N58" i="79" s="1"/>
  <c r="J58" i="79"/>
  <c r="B58" i="79"/>
  <c r="T57" i="79"/>
  <c r="Z57" i="79" s="1"/>
  <c r="P57" i="79"/>
  <c r="X57" i="79" s="1"/>
  <c r="L57" i="79"/>
  <c r="N57" i="79" s="1"/>
  <c r="H57" i="79"/>
  <c r="D57" i="79"/>
  <c r="B57" i="79"/>
  <c r="Z56" i="79"/>
  <c r="X56" i="79"/>
  <c r="N56" i="79"/>
  <c r="L56" i="79"/>
  <c r="B56" i="79"/>
  <c r="Z55" i="79"/>
  <c r="X55" i="79"/>
  <c r="N55" i="79"/>
  <c r="L55" i="79"/>
  <c r="F55" i="79"/>
  <c r="B55" i="79"/>
  <c r="Z54" i="79"/>
  <c r="X54" i="79"/>
  <c r="N54" i="79"/>
  <c r="L54" i="79"/>
  <c r="J54" i="79"/>
  <c r="B54" i="79"/>
  <c r="T53" i="79"/>
  <c r="Z53" i="79" s="1"/>
  <c r="P53" i="79"/>
  <c r="X53" i="79" s="1"/>
  <c r="N53" i="79"/>
  <c r="L53" i="79"/>
  <c r="H53" i="79"/>
  <c r="D53" i="79"/>
  <c r="B53" i="79"/>
  <c r="Z52" i="79"/>
  <c r="X52" i="79"/>
  <c r="N52" i="79"/>
  <c r="L52" i="79"/>
  <c r="B52" i="79"/>
  <c r="X51" i="79"/>
  <c r="Z51" i="79" s="1"/>
  <c r="T51" i="79"/>
  <c r="P51" i="79"/>
  <c r="L51" i="79"/>
  <c r="H51" i="79"/>
  <c r="D51" i="79"/>
  <c r="B51" i="79"/>
  <c r="X50" i="79"/>
  <c r="Z50" i="79" s="1"/>
  <c r="N50" i="79"/>
  <c r="L50" i="79"/>
  <c r="B50" i="79"/>
  <c r="X49" i="79"/>
  <c r="T49" i="79"/>
  <c r="P49" i="79"/>
  <c r="H49" i="79"/>
  <c r="N49" i="79" s="1"/>
  <c r="D49" i="79"/>
  <c r="B49" i="79"/>
  <c r="Z48" i="79"/>
  <c r="X48" i="79"/>
  <c r="N48" i="79"/>
  <c r="L48" i="79"/>
  <c r="J48" i="79"/>
  <c r="B48" i="79"/>
  <c r="T47" i="79"/>
  <c r="P47" i="79"/>
  <c r="X47" i="79" s="1"/>
  <c r="H47" i="79"/>
  <c r="N47" i="79" s="1"/>
  <c r="D47" i="79"/>
  <c r="L47" i="79" s="1"/>
  <c r="B47" i="79"/>
  <c r="Z46" i="79"/>
  <c r="X46" i="79"/>
  <c r="N46" i="79"/>
  <c r="L46" i="79"/>
  <c r="J46" i="79"/>
  <c r="B46" i="79"/>
  <c r="T45" i="79"/>
  <c r="Z45" i="79" s="1"/>
  <c r="P45" i="79"/>
  <c r="X45" i="79" s="1"/>
  <c r="L45" i="79"/>
  <c r="H45" i="79"/>
  <c r="N45" i="79" s="1"/>
  <c r="D45" i="79"/>
  <c r="B45" i="79"/>
  <c r="Z44" i="79"/>
  <c r="X44" i="79"/>
  <c r="N44" i="79"/>
  <c r="L44" i="79"/>
  <c r="B44" i="79"/>
  <c r="Z43" i="79"/>
  <c r="X43" i="79"/>
  <c r="N43" i="79"/>
  <c r="L43" i="79"/>
  <c r="F43" i="79"/>
  <c r="B43" i="79"/>
  <c r="T42" i="79"/>
  <c r="P42" i="79"/>
  <c r="X42" i="79" s="1"/>
  <c r="Z42" i="79" s="1"/>
  <c r="N42" i="79"/>
  <c r="L42" i="79"/>
  <c r="J42" i="79"/>
  <c r="H42" i="79"/>
  <c r="D42" i="79"/>
  <c r="B42" i="79"/>
  <c r="X41" i="79"/>
  <c r="Z41" i="79" s="1"/>
  <c r="R41" i="79"/>
  <c r="L41" i="79"/>
  <c r="N41" i="79" s="1"/>
  <c r="B41" i="79"/>
  <c r="Z40" i="79"/>
  <c r="X40" i="79"/>
  <c r="T40" i="79"/>
  <c r="P40" i="79"/>
  <c r="L40" i="79"/>
  <c r="N40" i="79" s="1"/>
  <c r="J40" i="79"/>
  <c r="H40" i="79"/>
  <c r="F40" i="79"/>
  <c r="D40" i="79"/>
  <c r="B40" i="79"/>
  <c r="Z39" i="79"/>
  <c r="X39" i="79"/>
  <c r="R39" i="79"/>
  <c r="N39" i="79"/>
  <c r="L39" i="79"/>
  <c r="B39" i="79"/>
  <c r="Z38" i="79"/>
  <c r="X38" i="79"/>
  <c r="N38" i="79"/>
  <c r="L38" i="79"/>
  <c r="B38" i="79"/>
  <c r="Z37" i="79"/>
  <c r="X37" i="79"/>
  <c r="R37" i="79"/>
  <c r="N37" i="79"/>
  <c r="L37" i="79"/>
  <c r="B37" i="79"/>
  <c r="Z36" i="79"/>
  <c r="X36" i="79"/>
  <c r="N36" i="79"/>
  <c r="L36" i="79"/>
  <c r="B36" i="79"/>
  <c r="Z35" i="79"/>
  <c r="X35" i="79"/>
  <c r="N35" i="79"/>
  <c r="L35" i="79"/>
  <c r="F35" i="79"/>
  <c r="B35" i="79"/>
  <c r="Z34" i="79"/>
  <c r="X34" i="79"/>
  <c r="N34" i="79"/>
  <c r="L34" i="79"/>
  <c r="J34" i="79"/>
  <c r="B34" i="79"/>
  <c r="Z33" i="79"/>
  <c r="X33" i="79"/>
  <c r="N33" i="79"/>
  <c r="L33" i="79"/>
  <c r="F33" i="79"/>
  <c r="B33" i="79"/>
  <c r="Z32" i="79"/>
  <c r="X32" i="79"/>
  <c r="R32" i="79"/>
  <c r="N32" i="79"/>
  <c r="L32" i="79"/>
  <c r="J32" i="79"/>
  <c r="B32" i="79"/>
  <c r="X31" i="79"/>
  <c r="Z31" i="79" s="1"/>
  <c r="R31" i="79"/>
  <c r="L31" i="79"/>
  <c r="N31" i="79" s="1"/>
  <c r="B31" i="79"/>
  <c r="X30" i="79"/>
  <c r="Z30" i="79" s="1"/>
  <c r="N30" i="79"/>
  <c r="L30" i="79"/>
  <c r="B30" i="79"/>
  <c r="X29" i="79"/>
  <c r="T29" i="79"/>
  <c r="P29" i="79"/>
  <c r="J29" i="79"/>
  <c r="H29" i="79"/>
  <c r="D29" i="79"/>
  <c r="B29" i="79"/>
  <c r="Z28" i="79"/>
  <c r="X28" i="79"/>
  <c r="R28" i="79"/>
  <c r="N28" i="79"/>
  <c r="L28" i="79"/>
  <c r="J28" i="79"/>
  <c r="B28" i="79"/>
  <c r="X27" i="79"/>
  <c r="Z27" i="79" s="1"/>
  <c r="R27" i="79"/>
  <c r="L27" i="79"/>
  <c r="N27" i="79" s="1"/>
  <c r="B27" i="79"/>
  <c r="X26" i="79"/>
  <c r="Z26" i="79" s="1"/>
  <c r="N26" i="79"/>
  <c r="L26" i="79"/>
  <c r="B26" i="79"/>
  <c r="Z25" i="79"/>
  <c r="X25" i="79"/>
  <c r="R25" i="79"/>
  <c r="N25" i="79"/>
  <c r="L25" i="79"/>
  <c r="B25" i="79"/>
  <c r="Z24" i="79"/>
  <c r="X24" i="79"/>
  <c r="N24" i="79"/>
  <c r="L24" i="79"/>
  <c r="B24" i="79"/>
  <c r="X23" i="79"/>
  <c r="Z23" i="79" s="1"/>
  <c r="L23" i="79"/>
  <c r="N23" i="79" s="1"/>
  <c r="J23" i="79"/>
  <c r="F23" i="79"/>
  <c r="B23" i="79"/>
  <c r="Z22" i="79"/>
  <c r="X22" i="79"/>
  <c r="L22" i="79"/>
  <c r="N22" i="79" s="1"/>
  <c r="J22" i="79"/>
  <c r="B22" i="79"/>
  <c r="X21" i="79"/>
  <c r="Z21" i="79" s="1"/>
  <c r="L21" i="79"/>
  <c r="N21" i="79" s="1"/>
  <c r="F21" i="79"/>
  <c r="B21" i="79"/>
  <c r="Z20" i="79"/>
  <c r="X20" i="79"/>
  <c r="R20" i="79"/>
  <c r="N20" i="79"/>
  <c r="L20" i="79"/>
  <c r="J20" i="79"/>
  <c r="B20" i="79"/>
  <c r="T19" i="79"/>
  <c r="P19" i="79"/>
  <c r="H19" i="79"/>
  <c r="F19" i="79"/>
  <c r="D19" i="79"/>
  <c r="L19" i="79" s="1"/>
  <c r="B19" i="79"/>
  <c r="T18" i="79"/>
  <c r="P18" i="79"/>
  <c r="X18" i="79" s="1"/>
  <c r="Z18" i="79" s="1"/>
  <c r="J18" i="79"/>
  <c r="H18" i="79"/>
  <c r="D18" i="79"/>
  <c r="L18" i="79" s="1"/>
  <c r="N18" i="79" s="1"/>
  <c r="R16" i="79"/>
  <c r="J16" i="79"/>
  <c r="H16" i="79"/>
  <c r="N16" i="79" s="1"/>
  <c r="F16" i="79"/>
  <c r="Z14" i="79"/>
  <c r="T14" i="79"/>
  <c r="R14" i="79"/>
  <c r="P14" i="79"/>
  <c r="P16" i="79" s="1"/>
  <c r="P73" i="79" s="1"/>
  <c r="N14" i="79"/>
  <c r="J14" i="79"/>
  <c r="H14" i="79"/>
  <c r="D14" i="79"/>
  <c r="L14" i="79" s="1"/>
  <c r="T12" i="79"/>
  <c r="P12" i="79"/>
  <c r="R68" i="79" s="1"/>
  <c r="N12" i="79"/>
  <c r="H12" i="79"/>
  <c r="J75" i="79" s="1"/>
  <c r="D12" i="79"/>
  <c r="F77" i="79" s="1"/>
  <c r="D6" i="79"/>
  <c r="D4" i="79"/>
  <c r="V33" i="78"/>
  <c r="J33" i="78"/>
  <c r="F33" i="78"/>
  <c r="R30" i="78"/>
  <c r="Z28" i="78"/>
  <c r="X28" i="78"/>
  <c r="N28" i="78"/>
  <c r="L28" i="78"/>
  <c r="J26" i="78"/>
  <c r="F26" i="78"/>
  <c r="T24" i="78"/>
  <c r="Z24" i="78" s="1"/>
  <c r="R24" i="78"/>
  <c r="P24" i="78"/>
  <c r="N24" i="78"/>
  <c r="H24" i="78"/>
  <c r="D24" i="78"/>
  <c r="L24" i="78" s="1"/>
  <c r="Z22" i="78"/>
  <c r="X22" i="78"/>
  <c r="N22" i="78"/>
  <c r="L22" i="78"/>
  <c r="B22" i="78"/>
  <c r="Z21" i="78"/>
  <c r="X21" i="78"/>
  <c r="T21" i="78"/>
  <c r="R21" i="78"/>
  <c r="P21" i="78"/>
  <c r="H21" i="78"/>
  <c r="D21" i="78"/>
  <c r="B21" i="78"/>
  <c r="Z20" i="78"/>
  <c r="X20" i="78"/>
  <c r="N20" i="78"/>
  <c r="L20" i="78"/>
  <c r="B20" i="78"/>
  <c r="T19" i="78"/>
  <c r="Z19" i="78" s="1"/>
  <c r="P19" i="78"/>
  <c r="J19" i="78"/>
  <c r="H19" i="78"/>
  <c r="N19" i="78" s="1"/>
  <c r="D19" i="78"/>
  <c r="L19" i="78" s="1"/>
  <c r="B19" i="78"/>
  <c r="T18" i="78"/>
  <c r="Z18" i="78" s="1"/>
  <c r="R18" i="78"/>
  <c r="P18" i="78"/>
  <c r="N18" i="78"/>
  <c r="H18" i="78"/>
  <c r="D18" i="78"/>
  <c r="L18" i="78" s="1"/>
  <c r="P16" i="78"/>
  <c r="P26" i="78" s="1"/>
  <c r="J16" i="78"/>
  <c r="F16" i="78"/>
  <c r="T14" i="78"/>
  <c r="Z14" i="78" s="1"/>
  <c r="R14" i="78"/>
  <c r="P14" i="78"/>
  <c r="N14" i="78"/>
  <c r="H14" i="78"/>
  <c r="D14" i="78"/>
  <c r="L14" i="78" s="1"/>
  <c r="Z12" i="78"/>
  <c r="T12" i="78"/>
  <c r="P12" i="78"/>
  <c r="R28" i="78" s="1"/>
  <c r="H12" i="78"/>
  <c r="J30" i="78" s="1"/>
  <c r="D12" i="78"/>
  <c r="F21" i="78" s="1"/>
  <c r="D6" i="78"/>
  <c r="D4" i="78"/>
  <c r="Z92" i="77"/>
  <c r="X92" i="77"/>
  <c r="L92" i="77"/>
  <c r="N92" i="77" s="1"/>
  <c r="J92" i="77"/>
  <c r="X88" i="77"/>
  <c r="V88" i="77"/>
  <c r="T88" i="77"/>
  <c r="Z88" i="77" s="1"/>
  <c r="P88" i="77"/>
  <c r="H88" i="77"/>
  <c r="N88" i="77" s="1"/>
  <c r="D88" i="77"/>
  <c r="Z86" i="77"/>
  <c r="X86" i="77"/>
  <c r="L86" i="77"/>
  <c r="N86" i="77" s="1"/>
  <c r="J86" i="77"/>
  <c r="B86" i="77"/>
  <c r="T85" i="77"/>
  <c r="P85" i="77"/>
  <c r="X85" i="77" s="1"/>
  <c r="Z85" i="77" s="1"/>
  <c r="L85" i="77"/>
  <c r="N85" i="77" s="1"/>
  <c r="H85" i="77"/>
  <c r="D85" i="77"/>
  <c r="B85" i="77"/>
  <c r="Z84" i="77"/>
  <c r="X84" i="77"/>
  <c r="V84" i="77"/>
  <c r="N84" i="77"/>
  <c r="L84" i="77"/>
  <c r="B84" i="77"/>
  <c r="X83" i="77"/>
  <c r="Z83" i="77" s="1"/>
  <c r="T83" i="77"/>
  <c r="P83" i="77"/>
  <c r="H83" i="77"/>
  <c r="N83" i="77" s="1"/>
  <c r="D83" i="77"/>
  <c r="B83" i="77"/>
  <c r="X82" i="77"/>
  <c r="Z82" i="77" s="1"/>
  <c r="V82" i="77"/>
  <c r="N82" i="77"/>
  <c r="L82" i="77"/>
  <c r="B82" i="77"/>
  <c r="X81" i="77"/>
  <c r="T81" i="77"/>
  <c r="P81" i="77"/>
  <c r="H81" i="77"/>
  <c r="D81" i="77"/>
  <c r="L81" i="77" s="1"/>
  <c r="B81" i="77"/>
  <c r="X80" i="77"/>
  <c r="Z80" i="77" s="1"/>
  <c r="N80" i="77"/>
  <c r="L80" i="77"/>
  <c r="B80" i="77"/>
  <c r="Z79" i="77"/>
  <c r="X79" i="77"/>
  <c r="N79" i="77"/>
  <c r="L79" i="77"/>
  <c r="B79" i="77"/>
  <c r="X78" i="77"/>
  <c r="Z78" i="77" s="1"/>
  <c r="V78" i="77"/>
  <c r="N78" i="77"/>
  <c r="L78" i="77"/>
  <c r="B78" i="77"/>
  <c r="X77" i="77"/>
  <c r="Z77" i="77" s="1"/>
  <c r="L77" i="77"/>
  <c r="N77" i="77" s="1"/>
  <c r="B77" i="77"/>
  <c r="Z76" i="77"/>
  <c r="X76" i="77"/>
  <c r="V76" i="77"/>
  <c r="L76" i="77"/>
  <c r="N76" i="77" s="1"/>
  <c r="B76" i="77"/>
  <c r="X75" i="77"/>
  <c r="Z75" i="77" s="1"/>
  <c r="N75" i="77"/>
  <c r="L75" i="77"/>
  <c r="B75" i="77"/>
  <c r="Z74" i="77"/>
  <c r="X74" i="77"/>
  <c r="L74" i="77"/>
  <c r="N74" i="77" s="1"/>
  <c r="J74" i="77"/>
  <c r="B74" i="77"/>
  <c r="Z73" i="77"/>
  <c r="X73" i="77"/>
  <c r="L73" i="77"/>
  <c r="N73" i="77" s="1"/>
  <c r="B73" i="77"/>
  <c r="T72" i="77"/>
  <c r="P72" i="77"/>
  <c r="N72" i="77"/>
  <c r="H72" i="77"/>
  <c r="D72" i="77"/>
  <c r="L72" i="77" s="1"/>
  <c r="B72" i="77"/>
  <c r="X71" i="77"/>
  <c r="Z71" i="77" s="1"/>
  <c r="N71" i="77"/>
  <c r="L71" i="77"/>
  <c r="F71" i="77"/>
  <c r="B71" i="77"/>
  <c r="T70" i="77"/>
  <c r="P70" i="77"/>
  <c r="X70" i="77" s="1"/>
  <c r="Z70" i="77" s="1"/>
  <c r="J70" i="77"/>
  <c r="H70" i="77"/>
  <c r="D70" i="77"/>
  <c r="L70" i="77" s="1"/>
  <c r="N70" i="77" s="1"/>
  <c r="B70" i="77"/>
  <c r="X69" i="77"/>
  <c r="Z69" i="77" s="1"/>
  <c r="N69" i="77"/>
  <c r="L69" i="77"/>
  <c r="B69" i="77"/>
  <c r="Z68" i="77"/>
  <c r="X68" i="77"/>
  <c r="V68" i="77"/>
  <c r="L68" i="77"/>
  <c r="N68" i="77" s="1"/>
  <c r="B68" i="77"/>
  <c r="Z67" i="77"/>
  <c r="X67" i="77"/>
  <c r="N67" i="77"/>
  <c r="L67" i="77"/>
  <c r="F67" i="77"/>
  <c r="B67" i="77"/>
  <c r="Z66" i="77"/>
  <c r="X66" i="77"/>
  <c r="L66" i="77"/>
  <c r="N66" i="77" s="1"/>
  <c r="B66" i="77"/>
  <c r="T65" i="77"/>
  <c r="P65" i="77"/>
  <c r="X65" i="77" s="1"/>
  <c r="L65" i="77"/>
  <c r="N65" i="77" s="1"/>
  <c r="H65" i="77"/>
  <c r="D65" i="77"/>
  <c r="B65" i="77"/>
  <c r="Z64" i="77"/>
  <c r="X64" i="77"/>
  <c r="V64" i="77"/>
  <c r="L64" i="77"/>
  <c r="N64" i="77" s="1"/>
  <c r="B64" i="77"/>
  <c r="X63" i="77"/>
  <c r="Z63" i="77" s="1"/>
  <c r="N63" i="77"/>
  <c r="L63" i="77"/>
  <c r="B63" i="77"/>
  <c r="Z62" i="77"/>
  <c r="T62" i="77"/>
  <c r="P62" i="77"/>
  <c r="X62" i="77" s="1"/>
  <c r="N62" i="77"/>
  <c r="H62" i="77"/>
  <c r="D62" i="77"/>
  <c r="L62" i="77" s="1"/>
  <c r="B62" i="77"/>
  <c r="X61" i="77"/>
  <c r="Z61" i="77" s="1"/>
  <c r="N61" i="77"/>
  <c r="L61" i="77"/>
  <c r="B61" i="77"/>
  <c r="V60" i="77"/>
  <c r="T60" i="77"/>
  <c r="P60" i="77"/>
  <c r="X60" i="77" s="1"/>
  <c r="Z60" i="77" s="1"/>
  <c r="L60" i="77"/>
  <c r="H60" i="77"/>
  <c r="N60" i="77" s="1"/>
  <c r="D60" i="77"/>
  <c r="B60" i="77"/>
  <c r="Z59" i="77"/>
  <c r="X59" i="77"/>
  <c r="N59" i="77"/>
  <c r="L59" i="77"/>
  <c r="B59" i="77"/>
  <c r="X58" i="77"/>
  <c r="V58" i="77"/>
  <c r="T58" i="77"/>
  <c r="Z58" i="77" s="1"/>
  <c r="P58" i="77"/>
  <c r="H58" i="77"/>
  <c r="N58" i="77" s="1"/>
  <c r="D58" i="77"/>
  <c r="B58" i="77"/>
  <c r="Z57" i="77"/>
  <c r="X57" i="77"/>
  <c r="L57" i="77"/>
  <c r="N57" i="77" s="1"/>
  <c r="F57" i="77"/>
  <c r="B57" i="77"/>
  <c r="T56" i="77"/>
  <c r="P56" i="77"/>
  <c r="H56" i="77"/>
  <c r="D56" i="77"/>
  <c r="L56" i="77" s="1"/>
  <c r="N56" i="77" s="1"/>
  <c r="B56" i="77"/>
  <c r="X55" i="77"/>
  <c r="Z55" i="77" s="1"/>
  <c r="N55" i="77"/>
  <c r="L55" i="77"/>
  <c r="B55" i="77"/>
  <c r="Z54" i="77"/>
  <c r="X54" i="77"/>
  <c r="N54" i="77"/>
  <c r="L54" i="77"/>
  <c r="B54" i="77"/>
  <c r="T53" i="77"/>
  <c r="Z53" i="77" s="1"/>
  <c r="P53" i="77"/>
  <c r="X53" i="77" s="1"/>
  <c r="L53" i="77"/>
  <c r="N53" i="77" s="1"/>
  <c r="H53" i="77"/>
  <c r="D53" i="77"/>
  <c r="B53" i="77"/>
  <c r="Z52" i="77"/>
  <c r="X52" i="77"/>
  <c r="V52" i="77"/>
  <c r="L52" i="77"/>
  <c r="N52" i="77" s="1"/>
  <c r="B52" i="77"/>
  <c r="X51" i="77"/>
  <c r="Z51" i="77" s="1"/>
  <c r="T51" i="77"/>
  <c r="P51" i="77"/>
  <c r="L51" i="77"/>
  <c r="H51" i="77"/>
  <c r="D51" i="77"/>
  <c r="B51" i="77"/>
  <c r="Z50" i="77"/>
  <c r="X50" i="77"/>
  <c r="V50" i="77"/>
  <c r="N50" i="77"/>
  <c r="L50" i="77"/>
  <c r="B50" i="77"/>
  <c r="X49" i="77"/>
  <c r="T49" i="77"/>
  <c r="Z49" i="77" s="1"/>
  <c r="P49" i="77"/>
  <c r="H49" i="77"/>
  <c r="N49" i="77" s="1"/>
  <c r="D49" i="77"/>
  <c r="B49" i="77"/>
  <c r="Z48" i="77"/>
  <c r="X48" i="77"/>
  <c r="N48" i="77"/>
  <c r="L48" i="77"/>
  <c r="J48" i="77"/>
  <c r="B48" i="77"/>
  <c r="T47" i="77"/>
  <c r="P47" i="77"/>
  <c r="H47" i="77"/>
  <c r="N47" i="77" s="1"/>
  <c r="D47" i="77"/>
  <c r="L47" i="77" s="1"/>
  <c r="B47" i="77"/>
  <c r="Z46" i="77"/>
  <c r="X46" i="77"/>
  <c r="N46" i="77"/>
  <c r="L46" i="77"/>
  <c r="B46" i="77"/>
  <c r="Z45" i="77"/>
  <c r="X45" i="77"/>
  <c r="N45" i="77"/>
  <c r="L45" i="77"/>
  <c r="F45" i="77"/>
  <c r="B45" i="77"/>
  <c r="X44" i="77"/>
  <c r="Z44" i="77" s="1"/>
  <c r="N44" i="77"/>
  <c r="L44" i="77"/>
  <c r="B44" i="77"/>
  <c r="Z43" i="77"/>
  <c r="X43" i="77"/>
  <c r="V43" i="77"/>
  <c r="N43" i="77"/>
  <c r="L43" i="77"/>
  <c r="B43" i="77"/>
  <c r="Z42" i="77"/>
  <c r="X42" i="77"/>
  <c r="V42" i="77"/>
  <c r="N42" i="77"/>
  <c r="L42" i="77"/>
  <c r="B42" i="77"/>
  <c r="X41" i="77"/>
  <c r="Z41" i="77" s="1"/>
  <c r="L41" i="77"/>
  <c r="N41" i="77" s="1"/>
  <c r="B41" i="77"/>
  <c r="Z40" i="77"/>
  <c r="X40" i="77"/>
  <c r="V40" i="77"/>
  <c r="N40" i="77"/>
  <c r="L40" i="77"/>
  <c r="B40" i="77"/>
  <c r="Z39" i="77"/>
  <c r="X39" i="77"/>
  <c r="N39" i="77"/>
  <c r="L39" i="77"/>
  <c r="B39" i="77"/>
  <c r="Z38" i="77"/>
  <c r="X38" i="77"/>
  <c r="L38" i="77"/>
  <c r="N38" i="77" s="1"/>
  <c r="B38" i="77"/>
  <c r="Z37" i="77"/>
  <c r="X37" i="77"/>
  <c r="N37" i="77"/>
  <c r="L37" i="77"/>
  <c r="F37" i="77"/>
  <c r="B37" i="77"/>
  <c r="T36" i="77"/>
  <c r="P36" i="77"/>
  <c r="H36" i="77"/>
  <c r="D36" i="77"/>
  <c r="L36" i="77" s="1"/>
  <c r="N36" i="77" s="1"/>
  <c r="B36" i="77"/>
  <c r="Z35" i="77"/>
  <c r="X35" i="77"/>
  <c r="N35" i="77"/>
  <c r="L35" i="77"/>
  <c r="J35" i="77"/>
  <c r="B35" i="77"/>
  <c r="Z34" i="77"/>
  <c r="X34" i="77"/>
  <c r="L34" i="77"/>
  <c r="N34" i="77" s="1"/>
  <c r="B34" i="77"/>
  <c r="X33" i="77"/>
  <c r="Z33" i="77" s="1"/>
  <c r="L33" i="77"/>
  <c r="N33" i="77" s="1"/>
  <c r="F33" i="77"/>
  <c r="B33" i="77"/>
  <c r="Z32" i="77"/>
  <c r="X32" i="77"/>
  <c r="N32" i="77"/>
  <c r="L32" i="77"/>
  <c r="J32" i="77"/>
  <c r="B32" i="77"/>
  <c r="Z31" i="77"/>
  <c r="X31" i="77"/>
  <c r="V31" i="77"/>
  <c r="L31" i="77"/>
  <c r="N31" i="77" s="1"/>
  <c r="B31" i="77"/>
  <c r="X30" i="77"/>
  <c r="Z30" i="77" s="1"/>
  <c r="V30" i="77"/>
  <c r="N30" i="77"/>
  <c r="L30" i="77"/>
  <c r="B30" i="77"/>
  <c r="X29" i="77"/>
  <c r="Z29" i="77" s="1"/>
  <c r="L29" i="77"/>
  <c r="N29" i="77" s="1"/>
  <c r="B29" i="77"/>
  <c r="Z28" i="77"/>
  <c r="X28" i="77"/>
  <c r="V28" i="77"/>
  <c r="L28" i="77"/>
  <c r="N28" i="77" s="1"/>
  <c r="B28" i="77"/>
  <c r="X27" i="77"/>
  <c r="Z27" i="77" s="1"/>
  <c r="N27" i="77"/>
  <c r="L27" i="77"/>
  <c r="B27" i="77"/>
  <c r="T26" i="77"/>
  <c r="P26" i="77"/>
  <c r="X26" i="77" s="1"/>
  <c r="Z26" i="77" s="1"/>
  <c r="N26" i="77"/>
  <c r="J26" i="77"/>
  <c r="H26" i="77"/>
  <c r="D26" i="77"/>
  <c r="L26" i="77" s="1"/>
  <c r="B26" i="77"/>
  <c r="T25" i="77"/>
  <c r="P25" i="77"/>
  <c r="J25" i="77"/>
  <c r="H25" i="77"/>
  <c r="D25" i="77"/>
  <c r="Z21" i="77"/>
  <c r="X21" i="77"/>
  <c r="N21" i="77"/>
  <c r="L21" i="77"/>
  <c r="B21" i="77"/>
  <c r="Z20" i="77"/>
  <c r="X20" i="77"/>
  <c r="V20" i="77"/>
  <c r="N20" i="77"/>
  <c r="L20" i="77"/>
  <c r="B20" i="77"/>
  <c r="X19" i="77"/>
  <c r="Z19" i="77" s="1"/>
  <c r="N19" i="77"/>
  <c r="L19" i="77"/>
  <c r="J19" i="77"/>
  <c r="F19" i="77"/>
  <c r="B19" i="77"/>
  <c r="Z18" i="77"/>
  <c r="T18" i="77"/>
  <c r="P18" i="77"/>
  <c r="X18" i="77" s="1"/>
  <c r="H18" i="77"/>
  <c r="D18" i="77"/>
  <c r="L18" i="77" s="1"/>
  <c r="N18" i="77" s="1"/>
  <c r="Z16" i="77"/>
  <c r="X16" i="77"/>
  <c r="P16" i="77"/>
  <c r="N16" i="77"/>
  <c r="L16" i="77"/>
  <c r="D16" i="77"/>
  <c r="B16" i="77"/>
  <c r="P15" i="77"/>
  <c r="N15" i="77"/>
  <c r="D15" i="77"/>
  <c r="L15" i="77" s="1"/>
  <c r="B15" i="77"/>
  <c r="Z14" i="77"/>
  <c r="X14" i="77"/>
  <c r="P14" i="77"/>
  <c r="N14" i="77"/>
  <c r="L14" i="77"/>
  <c r="D14" i="77"/>
  <c r="B14" i="77"/>
  <c r="P13" i="77"/>
  <c r="X13" i="77" s="1"/>
  <c r="Z13" i="77" s="1"/>
  <c r="D13" i="77"/>
  <c r="D12" i="77" s="1"/>
  <c r="F63" i="77" s="1"/>
  <c r="B13" i="77"/>
  <c r="T12" i="77"/>
  <c r="V83" i="77" s="1"/>
  <c r="L12" i="77"/>
  <c r="H12" i="77"/>
  <c r="D6" i="77"/>
  <c r="D4" i="77"/>
  <c r="X32" i="76"/>
  <c r="Z32" i="76" s="1"/>
  <c r="N32" i="76"/>
  <c r="L32" i="76"/>
  <c r="Z28" i="76"/>
  <c r="T28" i="76"/>
  <c r="P28" i="76"/>
  <c r="X28" i="76" s="1"/>
  <c r="L28" i="76"/>
  <c r="H28" i="76"/>
  <c r="N28" i="76" s="1"/>
  <c r="D28" i="76"/>
  <c r="X26" i="76"/>
  <c r="Z26" i="76" s="1"/>
  <c r="N26" i="76"/>
  <c r="L26" i="76"/>
  <c r="B26" i="76"/>
  <c r="T25" i="76"/>
  <c r="P25" i="76"/>
  <c r="H25" i="76"/>
  <c r="D25" i="76"/>
  <c r="L25" i="76" s="1"/>
  <c r="N25" i="76" s="1"/>
  <c r="B25" i="76"/>
  <c r="T24" i="76"/>
  <c r="P24" i="76"/>
  <c r="X24" i="76" s="1"/>
  <c r="Z24" i="76" s="1"/>
  <c r="N24" i="76"/>
  <c r="J24" i="76"/>
  <c r="H24" i="76"/>
  <c r="D24" i="76"/>
  <c r="L24" i="76" s="1"/>
  <c r="H22" i="76"/>
  <c r="Z20" i="76"/>
  <c r="X20" i="76"/>
  <c r="N20" i="76"/>
  <c r="L20" i="76"/>
  <c r="J20" i="76"/>
  <c r="B20" i="76"/>
  <c r="Z19" i="76"/>
  <c r="X19" i="76"/>
  <c r="N19" i="76"/>
  <c r="L19" i="76"/>
  <c r="B19" i="76"/>
  <c r="X18" i="76"/>
  <c r="Z18" i="76" s="1"/>
  <c r="N18" i="76"/>
  <c r="L18" i="76"/>
  <c r="B18" i="76"/>
  <c r="T17" i="76"/>
  <c r="R17" i="76"/>
  <c r="P17" i="76"/>
  <c r="H17" i="76"/>
  <c r="D17" i="76"/>
  <c r="L17" i="76" s="1"/>
  <c r="N17" i="76" s="1"/>
  <c r="Z15" i="76"/>
  <c r="X15" i="76"/>
  <c r="P15" i="76"/>
  <c r="N15" i="76"/>
  <c r="L15" i="76"/>
  <c r="D15" i="76"/>
  <c r="B15" i="76"/>
  <c r="Z14" i="76"/>
  <c r="X14" i="76"/>
  <c r="P14" i="76"/>
  <c r="N14" i="76"/>
  <c r="L14" i="76"/>
  <c r="D14" i="76"/>
  <c r="B14" i="76"/>
  <c r="P13" i="76"/>
  <c r="P12" i="76" s="1"/>
  <c r="N13" i="76"/>
  <c r="L13" i="76"/>
  <c r="D13" i="76"/>
  <c r="D12" i="76" s="1"/>
  <c r="B13" i="76"/>
  <c r="T12" i="76"/>
  <c r="H12" i="76"/>
  <c r="D6" i="76"/>
  <c r="D4" i="76"/>
  <c r="X91" i="75"/>
  <c r="Z91" i="75" s="1"/>
  <c r="N91" i="75"/>
  <c r="L91" i="75"/>
  <c r="H89" i="75"/>
  <c r="Z87" i="75"/>
  <c r="T87" i="75"/>
  <c r="P87" i="75"/>
  <c r="X87" i="75" s="1"/>
  <c r="N87" i="75"/>
  <c r="L87" i="75"/>
  <c r="H87" i="75"/>
  <c r="D87" i="75"/>
  <c r="X85" i="75"/>
  <c r="Z85" i="75" s="1"/>
  <c r="N85" i="75"/>
  <c r="L85" i="75"/>
  <c r="B85" i="75"/>
  <c r="Z84" i="75"/>
  <c r="X84" i="75"/>
  <c r="T84" i="75"/>
  <c r="P84" i="75"/>
  <c r="L84" i="75"/>
  <c r="H84" i="75"/>
  <c r="D84" i="75"/>
  <c r="B84" i="75"/>
  <c r="Z83" i="75"/>
  <c r="X83" i="75"/>
  <c r="N83" i="75"/>
  <c r="L83" i="75"/>
  <c r="B83" i="75"/>
  <c r="Z82" i="75"/>
  <c r="X82" i="75"/>
  <c r="N82" i="75"/>
  <c r="L82" i="75"/>
  <c r="B82" i="75"/>
  <c r="X81" i="75"/>
  <c r="Z81" i="75" s="1"/>
  <c r="T81" i="75"/>
  <c r="P81" i="75"/>
  <c r="J81" i="75"/>
  <c r="H81" i="75"/>
  <c r="D81" i="75"/>
  <c r="L81" i="75" s="1"/>
  <c r="B81" i="75"/>
  <c r="X80" i="75"/>
  <c r="Z80" i="75" s="1"/>
  <c r="L80" i="75"/>
  <c r="N80" i="75" s="1"/>
  <c r="B80" i="75"/>
  <c r="T79" i="75"/>
  <c r="R79" i="75"/>
  <c r="P79" i="75"/>
  <c r="H79" i="75"/>
  <c r="D79" i="75"/>
  <c r="L79" i="75" s="1"/>
  <c r="N79" i="75" s="1"/>
  <c r="B79" i="75"/>
  <c r="Z78" i="75"/>
  <c r="X78" i="75"/>
  <c r="N78" i="75"/>
  <c r="L78" i="75"/>
  <c r="J78" i="75"/>
  <c r="B78" i="75"/>
  <c r="Z77" i="75"/>
  <c r="X77" i="75"/>
  <c r="L77" i="75"/>
  <c r="N77" i="75" s="1"/>
  <c r="J77" i="75"/>
  <c r="B77" i="75"/>
  <c r="X76" i="75"/>
  <c r="Z76" i="75" s="1"/>
  <c r="L76" i="75"/>
  <c r="N76" i="75" s="1"/>
  <c r="B76" i="75"/>
  <c r="V75" i="75"/>
  <c r="T75" i="75"/>
  <c r="P75" i="75"/>
  <c r="H75" i="75"/>
  <c r="D75" i="75"/>
  <c r="L75" i="75" s="1"/>
  <c r="N75" i="75" s="1"/>
  <c r="B75" i="75"/>
  <c r="X74" i="75"/>
  <c r="Z74" i="75" s="1"/>
  <c r="L74" i="75"/>
  <c r="N74" i="75" s="1"/>
  <c r="J74" i="75"/>
  <c r="B74" i="75"/>
  <c r="Z73" i="75"/>
  <c r="X73" i="75"/>
  <c r="N73" i="75"/>
  <c r="L73" i="75"/>
  <c r="J73" i="75"/>
  <c r="B73" i="75"/>
  <c r="T72" i="75"/>
  <c r="P72" i="75"/>
  <c r="H72" i="75"/>
  <c r="D72" i="75"/>
  <c r="L72" i="75" s="1"/>
  <c r="B72" i="75"/>
  <c r="Z71" i="75"/>
  <c r="X71" i="75"/>
  <c r="N71" i="75"/>
  <c r="L71" i="75"/>
  <c r="J71" i="75"/>
  <c r="B71" i="75"/>
  <c r="Z70" i="75"/>
  <c r="X70" i="75"/>
  <c r="L70" i="75"/>
  <c r="N70" i="75" s="1"/>
  <c r="J70" i="75"/>
  <c r="B70" i="75"/>
  <c r="T69" i="75"/>
  <c r="P69" i="75"/>
  <c r="X69" i="75" s="1"/>
  <c r="Z69" i="75" s="1"/>
  <c r="N69" i="75"/>
  <c r="L69" i="75"/>
  <c r="H69" i="75"/>
  <c r="D69" i="75"/>
  <c r="B69" i="75"/>
  <c r="Z68" i="75"/>
  <c r="X68" i="75"/>
  <c r="N68" i="75"/>
  <c r="L68" i="75"/>
  <c r="B68" i="75"/>
  <c r="Z67" i="75"/>
  <c r="X67" i="75"/>
  <c r="N67" i="75"/>
  <c r="L67" i="75"/>
  <c r="J67" i="75"/>
  <c r="B67" i="75"/>
  <c r="T66" i="75"/>
  <c r="P66" i="75"/>
  <c r="X66" i="75" s="1"/>
  <c r="L66" i="75"/>
  <c r="N66" i="75" s="1"/>
  <c r="H66" i="75"/>
  <c r="D66" i="75"/>
  <c r="B66" i="75"/>
  <c r="X65" i="75"/>
  <c r="Z65" i="75" s="1"/>
  <c r="N65" i="75"/>
  <c r="L65" i="75"/>
  <c r="B65" i="75"/>
  <c r="Z64" i="75"/>
  <c r="X64" i="75"/>
  <c r="T64" i="75"/>
  <c r="P64" i="75"/>
  <c r="L64" i="75"/>
  <c r="H64" i="75"/>
  <c r="D64" i="75"/>
  <c r="B64" i="75"/>
  <c r="Z63" i="75"/>
  <c r="X63" i="75"/>
  <c r="N63" i="75"/>
  <c r="L63" i="75"/>
  <c r="B63" i="75"/>
  <c r="X62" i="75"/>
  <c r="T62" i="75"/>
  <c r="P62" i="75"/>
  <c r="H62" i="75"/>
  <c r="N62" i="75" s="1"/>
  <c r="D62" i="75"/>
  <c r="B62" i="75"/>
  <c r="Z61" i="75"/>
  <c r="X61" i="75"/>
  <c r="L61" i="75"/>
  <c r="N61" i="75" s="1"/>
  <c r="J61" i="75"/>
  <c r="B61" i="75"/>
  <c r="T60" i="75"/>
  <c r="P60" i="75"/>
  <c r="X60" i="75" s="1"/>
  <c r="H60" i="75"/>
  <c r="N60" i="75" s="1"/>
  <c r="D60" i="75"/>
  <c r="L60" i="75" s="1"/>
  <c r="B60" i="75"/>
  <c r="Z59" i="75"/>
  <c r="X59" i="75"/>
  <c r="N59" i="75"/>
  <c r="L59" i="75"/>
  <c r="J59" i="75"/>
  <c r="B59" i="75"/>
  <c r="T58" i="75"/>
  <c r="P58" i="75"/>
  <c r="X58" i="75" s="1"/>
  <c r="L58" i="75"/>
  <c r="N58" i="75" s="1"/>
  <c r="H58" i="75"/>
  <c r="D58" i="75"/>
  <c r="B58" i="75"/>
  <c r="X57" i="75"/>
  <c r="Z57" i="75" s="1"/>
  <c r="V57" i="75"/>
  <c r="N57" i="75"/>
  <c r="L57" i="75"/>
  <c r="J57" i="75"/>
  <c r="B57" i="75"/>
  <c r="Z56" i="75"/>
  <c r="X56" i="75"/>
  <c r="T56" i="75"/>
  <c r="P56" i="75"/>
  <c r="H56" i="75"/>
  <c r="N56" i="75" s="1"/>
  <c r="D56" i="75"/>
  <c r="B56" i="75"/>
  <c r="Z55" i="75"/>
  <c r="X55" i="75"/>
  <c r="V55" i="75"/>
  <c r="N55" i="75"/>
  <c r="L55" i="75"/>
  <c r="B55" i="75"/>
  <c r="T54" i="75"/>
  <c r="P54" i="75"/>
  <c r="H54" i="75"/>
  <c r="D54" i="75"/>
  <c r="L54" i="75" s="1"/>
  <c r="B54" i="75"/>
  <c r="Z53" i="75"/>
  <c r="X53" i="75"/>
  <c r="L53" i="75"/>
  <c r="N53" i="75" s="1"/>
  <c r="J53" i="75"/>
  <c r="B53" i="75"/>
  <c r="T52" i="75"/>
  <c r="R52" i="75"/>
  <c r="P52" i="75"/>
  <c r="H52" i="75"/>
  <c r="D52" i="75"/>
  <c r="L52" i="75" s="1"/>
  <c r="B52" i="75"/>
  <c r="Z51" i="75"/>
  <c r="X51" i="75"/>
  <c r="N51" i="75"/>
  <c r="L51" i="75"/>
  <c r="J51" i="75"/>
  <c r="B51" i="75"/>
  <c r="T50" i="75"/>
  <c r="Z50" i="75" s="1"/>
  <c r="P50" i="75"/>
  <c r="X50" i="75" s="1"/>
  <c r="L50" i="75"/>
  <c r="N50" i="75" s="1"/>
  <c r="H50" i="75"/>
  <c r="D50" i="75"/>
  <c r="B50" i="75"/>
  <c r="X49" i="75"/>
  <c r="Z49" i="75" s="1"/>
  <c r="N49" i="75"/>
  <c r="L49" i="75"/>
  <c r="J49" i="75"/>
  <c r="B49" i="75"/>
  <c r="X48" i="75"/>
  <c r="Z48" i="75" s="1"/>
  <c r="T48" i="75"/>
  <c r="P48" i="75"/>
  <c r="H48" i="75"/>
  <c r="D48" i="75"/>
  <c r="B48" i="75"/>
  <c r="Z47" i="75"/>
  <c r="X47" i="75"/>
  <c r="N47" i="75"/>
  <c r="L47" i="75"/>
  <c r="B47" i="75"/>
  <c r="Z46" i="75"/>
  <c r="X46" i="75"/>
  <c r="V46" i="75"/>
  <c r="N46" i="75"/>
  <c r="L46" i="75"/>
  <c r="B46" i="75"/>
  <c r="Z45" i="75"/>
  <c r="X45" i="75"/>
  <c r="N45" i="75"/>
  <c r="L45" i="75"/>
  <c r="J45" i="75"/>
  <c r="B45" i="75"/>
  <c r="Z44" i="75"/>
  <c r="X44" i="75"/>
  <c r="N44" i="75"/>
  <c r="L44" i="75"/>
  <c r="B44" i="75"/>
  <c r="Z43" i="75"/>
  <c r="X43" i="75"/>
  <c r="N43" i="75"/>
  <c r="L43" i="75"/>
  <c r="J43" i="75"/>
  <c r="B43" i="75"/>
  <c r="Z42" i="75"/>
  <c r="X42" i="75"/>
  <c r="N42" i="75"/>
  <c r="L42" i="75"/>
  <c r="J42" i="75"/>
  <c r="B42" i="75"/>
  <c r="Z41" i="75"/>
  <c r="X41" i="75"/>
  <c r="L41" i="75"/>
  <c r="N41" i="75" s="1"/>
  <c r="J41" i="75"/>
  <c r="B41" i="75"/>
  <c r="Z40" i="75"/>
  <c r="X40" i="75"/>
  <c r="N40" i="75"/>
  <c r="L40" i="75"/>
  <c r="B40" i="75"/>
  <c r="Z39" i="75"/>
  <c r="X39" i="75"/>
  <c r="N39" i="75"/>
  <c r="L39" i="75"/>
  <c r="B39" i="75"/>
  <c r="Z38" i="75"/>
  <c r="X38" i="75"/>
  <c r="N38" i="75"/>
  <c r="L38" i="75"/>
  <c r="B38" i="75"/>
  <c r="X37" i="75"/>
  <c r="Z37" i="75" s="1"/>
  <c r="V37" i="75"/>
  <c r="T37" i="75"/>
  <c r="P37" i="75"/>
  <c r="H37" i="75"/>
  <c r="D37" i="75"/>
  <c r="B37" i="75"/>
  <c r="Z36" i="75"/>
  <c r="X36" i="75"/>
  <c r="N36" i="75"/>
  <c r="L36" i="75"/>
  <c r="B36" i="75"/>
  <c r="Z35" i="75"/>
  <c r="X35" i="75"/>
  <c r="V35" i="75"/>
  <c r="N35" i="75"/>
  <c r="L35" i="75"/>
  <c r="B35" i="75"/>
  <c r="X34" i="75"/>
  <c r="Z34" i="75" s="1"/>
  <c r="L34" i="75"/>
  <c r="N34" i="75" s="1"/>
  <c r="B34" i="75"/>
  <c r="Z33" i="75"/>
  <c r="X33" i="75"/>
  <c r="V33" i="75"/>
  <c r="N33" i="75"/>
  <c r="L33" i="75"/>
  <c r="J33" i="75"/>
  <c r="B33" i="75"/>
  <c r="Z32" i="75"/>
  <c r="X32" i="75"/>
  <c r="L32" i="75"/>
  <c r="N32" i="75" s="1"/>
  <c r="B32" i="75"/>
  <c r="Z31" i="75"/>
  <c r="X31" i="75"/>
  <c r="N31" i="75"/>
  <c r="L31" i="75"/>
  <c r="J31" i="75"/>
  <c r="B31" i="75"/>
  <c r="X30" i="75"/>
  <c r="Z30" i="75" s="1"/>
  <c r="L30" i="75"/>
  <c r="N30" i="75" s="1"/>
  <c r="J30" i="75"/>
  <c r="B30" i="75"/>
  <c r="Z29" i="75"/>
  <c r="X29" i="75"/>
  <c r="N29" i="75"/>
  <c r="L29" i="75"/>
  <c r="J29" i="75"/>
  <c r="B29" i="75"/>
  <c r="X28" i="75"/>
  <c r="Z28" i="75" s="1"/>
  <c r="L28" i="75"/>
  <c r="N28" i="75" s="1"/>
  <c r="B28" i="75"/>
  <c r="T27" i="75"/>
  <c r="P27" i="75"/>
  <c r="X27" i="75" s="1"/>
  <c r="J27" i="75"/>
  <c r="H27" i="75"/>
  <c r="D27" i="75"/>
  <c r="L27" i="75" s="1"/>
  <c r="N27" i="75" s="1"/>
  <c r="B27" i="75"/>
  <c r="T26" i="75"/>
  <c r="P26" i="75"/>
  <c r="X26" i="75" s="1"/>
  <c r="N26" i="75"/>
  <c r="L26" i="75"/>
  <c r="H26" i="75"/>
  <c r="J26" i="75" s="1"/>
  <c r="D26" i="75"/>
  <c r="H24" i="75"/>
  <c r="Z22" i="75"/>
  <c r="X22" i="75"/>
  <c r="N22" i="75"/>
  <c r="L22" i="75"/>
  <c r="J22" i="75"/>
  <c r="B22" i="75"/>
  <c r="Z21" i="75"/>
  <c r="X21" i="75"/>
  <c r="N21" i="75"/>
  <c r="L21" i="75"/>
  <c r="J21" i="75"/>
  <c r="B21" i="75"/>
  <c r="Z20" i="75"/>
  <c r="X20" i="75"/>
  <c r="N20" i="75"/>
  <c r="L20" i="75"/>
  <c r="J20" i="75"/>
  <c r="B20" i="75"/>
  <c r="Z19" i="75"/>
  <c r="X19" i="75"/>
  <c r="V19" i="75"/>
  <c r="N19" i="75"/>
  <c r="L19" i="75"/>
  <c r="J19" i="75"/>
  <c r="B19" i="75"/>
  <c r="T18" i="75"/>
  <c r="P18" i="75"/>
  <c r="H18" i="75"/>
  <c r="D18" i="75"/>
  <c r="L18" i="75" s="1"/>
  <c r="Z16" i="75"/>
  <c r="X16" i="75"/>
  <c r="P16" i="75"/>
  <c r="N16" i="75"/>
  <c r="D16" i="75"/>
  <c r="B16" i="75"/>
  <c r="Z15" i="75"/>
  <c r="P15" i="75"/>
  <c r="X15" i="75" s="1"/>
  <c r="N15" i="75"/>
  <c r="L15" i="75"/>
  <c r="D15" i="75"/>
  <c r="B15" i="75"/>
  <c r="Z14" i="75"/>
  <c r="X14" i="75"/>
  <c r="P14" i="75"/>
  <c r="N14" i="75"/>
  <c r="D14" i="75"/>
  <c r="L14" i="75" s="1"/>
  <c r="B14" i="75"/>
  <c r="X13" i="75"/>
  <c r="Z13" i="75" s="1"/>
  <c r="P13" i="75"/>
  <c r="L13" i="75"/>
  <c r="N13" i="75" s="1"/>
  <c r="D13" i="75"/>
  <c r="B13" i="75"/>
  <c r="T12" i="75"/>
  <c r="P12" i="75"/>
  <c r="H12" i="75"/>
  <c r="J80" i="75" s="1"/>
  <c r="D6" i="75"/>
  <c r="D4" i="75"/>
  <c r="Z86" i="74"/>
  <c r="X86" i="74"/>
  <c r="L86" i="74"/>
  <c r="N86" i="74" s="1"/>
  <c r="F86" i="74"/>
  <c r="T82" i="74"/>
  <c r="Z82" i="74" s="1"/>
  <c r="P82" i="74"/>
  <c r="X82" i="74" s="1"/>
  <c r="H82" i="74"/>
  <c r="N82" i="74" s="1"/>
  <c r="D82" i="74"/>
  <c r="L82" i="74" s="1"/>
  <c r="Z80" i="74"/>
  <c r="X80" i="74"/>
  <c r="N80" i="74"/>
  <c r="L80" i="74"/>
  <c r="B80" i="74"/>
  <c r="Z79" i="74"/>
  <c r="X79" i="74"/>
  <c r="T79" i="74"/>
  <c r="P79" i="74"/>
  <c r="N79" i="74"/>
  <c r="L79" i="74"/>
  <c r="H79" i="74"/>
  <c r="D79" i="74"/>
  <c r="B79" i="74"/>
  <c r="X78" i="74"/>
  <c r="Z78" i="74" s="1"/>
  <c r="V78" i="74"/>
  <c r="L78" i="74"/>
  <c r="N78" i="74" s="1"/>
  <c r="B78" i="74"/>
  <c r="X77" i="74"/>
  <c r="Z77" i="74" s="1"/>
  <c r="V77" i="74"/>
  <c r="N77" i="74"/>
  <c r="L77" i="74"/>
  <c r="B77" i="74"/>
  <c r="X76" i="74"/>
  <c r="Z76" i="74" s="1"/>
  <c r="T76" i="74"/>
  <c r="P76" i="74"/>
  <c r="H76" i="74"/>
  <c r="D76" i="74"/>
  <c r="B76" i="74"/>
  <c r="Z75" i="74"/>
  <c r="X75" i="74"/>
  <c r="V75" i="74"/>
  <c r="N75" i="74"/>
  <c r="L75" i="74"/>
  <c r="B75" i="74"/>
  <c r="X74" i="74"/>
  <c r="Z74" i="74" s="1"/>
  <c r="V74" i="74"/>
  <c r="L74" i="74"/>
  <c r="N74" i="74" s="1"/>
  <c r="B74" i="74"/>
  <c r="Z73" i="74"/>
  <c r="X73" i="74"/>
  <c r="V73" i="74"/>
  <c r="N73" i="74"/>
  <c r="L73" i="74"/>
  <c r="B73" i="74"/>
  <c r="Z72" i="74"/>
  <c r="X72" i="74"/>
  <c r="L72" i="74"/>
  <c r="N72" i="74" s="1"/>
  <c r="B72" i="74"/>
  <c r="Z71" i="74"/>
  <c r="X71" i="74"/>
  <c r="N71" i="74"/>
  <c r="L71" i="74"/>
  <c r="B71" i="74"/>
  <c r="T70" i="74"/>
  <c r="Z70" i="74" s="1"/>
  <c r="P70" i="74"/>
  <c r="X70" i="74" s="1"/>
  <c r="L70" i="74"/>
  <c r="N70" i="74" s="1"/>
  <c r="H70" i="74"/>
  <c r="D70" i="74"/>
  <c r="B70" i="74"/>
  <c r="X69" i="74"/>
  <c r="Z69" i="74" s="1"/>
  <c r="V69" i="74"/>
  <c r="N69" i="74"/>
  <c r="L69" i="74"/>
  <c r="B69" i="74"/>
  <c r="Z68" i="74"/>
  <c r="X68" i="74"/>
  <c r="N68" i="74"/>
  <c r="L68" i="74"/>
  <c r="B68" i="74"/>
  <c r="Z67" i="74"/>
  <c r="X67" i="74"/>
  <c r="N67" i="74"/>
  <c r="L67" i="74"/>
  <c r="B67" i="74"/>
  <c r="T66" i="74"/>
  <c r="P66" i="74"/>
  <c r="X66" i="74" s="1"/>
  <c r="N66" i="74"/>
  <c r="L66" i="74"/>
  <c r="H66" i="74"/>
  <c r="D66" i="74"/>
  <c r="B66" i="74"/>
  <c r="Z65" i="74"/>
  <c r="X65" i="74"/>
  <c r="V65" i="74"/>
  <c r="N65" i="74"/>
  <c r="L65" i="74"/>
  <c r="B65" i="74"/>
  <c r="X64" i="74"/>
  <c r="Z64" i="74" s="1"/>
  <c r="N64" i="74"/>
  <c r="L64" i="74"/>
  <c r="F64" i="74"/>
  <c r="B64" i="74"/>
  <c r="Z63" i="74"/>
  <c r="X63" i="74"/>
  <c r="N63" i="74"/>
  <c r="L63" i="74"/>
  <c r="B63" i="74"/>
  <c r="T62" i="74"/>
  <c r="Z62" i="74" s="1"/>
  <c r="P62" i="74"/>
  <c r="X62" i="74" s="1"/>
  <c r="L62" i="74"/>
  <c r="N62" i="74" s="1"/>
  <c r="H62" i="74"/>
  <c r="D62" i="74"/>
  <c r="B62" i="74"/>
  <c r="X61" i="74"/>
  <c r="Z61" i="74" s="1"/>
  <c r="V61" i="74"/>
  <c r="N61" i="74"/>
  <c r="L61" i="74"/>
  <c r="B61" i="74"/>
  <c r="Z60" i="74"/>
  <c r="X60" i="74"/>
  <c r="T60" i="74"/>
  <c r="P60" i="74"/>
  <c r="H60" i="74"/>
  <c r="D60" i="74"/>
  <c r="B60" i="74"/>
  <c r="Z59" i="74"/>
  <c r="X59" i="74"/>
  <c r="V59" i="74"/>
  <c r="N59" i="74"/>
  <c r="L59" i="74"/>
  <c r="B59" i="74"/>
  <c r="T58" i="74"/>
  <c r="P58" i="74"/>
  <c r="H58" i="74"/>
  <c r="D58" i="74"/>
  <c r="L58" i="74" s="1"/>
  <c r="B58" i="74"/>
  <c r="Z57" i="74"/>
  <c r="X57" i="74"/>
  <c r="V57" i="74"/>
  <c r="N57" i="74"/>
  <c r="L57" i="74"/>
  <c r="B57" i="74"/>
  <c r="T56" i="74"/>
  <c r="Z56" i="74" s="1"/>
  <c r="P56" i="74"/>
  <c r="X56" i="74" s="1"/>
  <c r="H56" i="74"/>
  <c r="N56" i="74" s="1"/>
  <c r="D56" i="74"/>
  <c r="L56" i="74" s="1"/>
  <c r="B56" i="74"/>
  <c r="Z55" i="74"/>
  <c r="X55" i="74"/>
  <c r="N55" i="74"/>
  <c r="L55" i="74"/>
  <c r="J55" i="74"/>
  <c r="B55" i="74"/>
  <c r="T54" i="74"/>
  <c r="P54" i="74"/>
  <c r="X54" i="74" s="1"/>
  <c r="H54" i="74"/>
  <c r="D54" i="74"/>
  <c r="L54" i="74" s="1"/>
  <c r="N54" i="74" s="1"/>
  <c r="B54" i="74"/>
  <c r="X53" i="74"/>
  <c r="Z53" i="74" s="1"/>
  <c r="V53" i="74"/>
  <c r="N53" i="74"/>
  <c r="L53" i="74"/>
  <c r="J53" i="74"/>
  <c r="B53" i="74"/>
  <c r="Z52" i="74"/>
  <c r="X52" i="74"/>
  <c r="N52" i="74"/>
  <c r="L52" i="74"/>
  <c r="B52" i="74"/>
  <c r="Z51" i="74"/>
  <c r="T51" i="74"/>
  <c r="P51" i="74"/>
  <c r="X51" i="74" s="1"/>
  <c r="L51" i="74"/>
  <c r="N51" i="74" s="1"/>
  <c r="H51" i="74"/>
  <c r="D51" i="74"/>
  <c r="B51" i="74"/>
  <c r="X50" i="74"/>
  <c r="Z50" i="74" s="1"/>
  <c r="V50" i="74"/>
  <c r="L50" i="74"/>
  <c r="N50" i="74" s="1"/>
  <c r="B50" i="74"/>
  <c r="X49" i="74"/>
  <c r="Z49" i="74" s="1"/>
  <c r="V49" i="74"/>
  <c r="T49" i="74"/>
  <c r="P49" i="74"/>
  <c r="N49" i="74"/>
  <c r="H49" i="74"/>
  <c r="L49" i="74" s="1"/>
  <c r="F49" i="74"/>
  <c r="D49" i="74"/>
  <c r="B49" i="74"/>
  <c r="Z48" i="74"/>
  <c r="X48" i="74"/>
  <c r="N48" i="74"/>
  <c r="L48" i="74"/>
  <c r="B48" i="74"/>
  <c r="Z47" i="74"/>
  <c r="T47" i="74"/>
  <c r="V47" i="74" s="1"/>
  <c r="P47" i="74"/>
  <c r="X47" i="74" s="1"/>
  <c r="N47" i="74"/>
  <c r="H47" i="74"/>
  <c r="F47" i="74"/>
  <c r="D47" i="74"/>
  <c r="L47" i="74" s="1"/>
  <c r="B47" i="74"/>
  <c r="Z46" i="74"/>
  <c r="X46" i="74"/>
  <c r="N46" i="74"/>
  <c r="L46" i="74"/>
  <c r="J46" i="74"/>
  <c r="B46" i="74"/>
  <c r="Z45" i="74"/>
  <c r="V45" i="74"/>
  <c r="T45" i="74"/>
  <c r="P45" i="74"/>
  <c r="X45" i="74" s="1"/>
  <c r="N45" i="74"/>
  <c r="H45" i="74"/>
  <c r="L45" i="74" s="1"/>
  <c r="D45" i="74"/>
  <c r="B45" i="74"/>
  <c r="Z44" i="74"/>
  <c r="X44" i="74"/>
  <c r="N44" i="74"/>
  <c r="L44" i="74"/>
  <c r="B44" i="74"/>
  <c r="Z43" i="74"/>
  <c r="X43" i="74"/>
  <c r="N43" i="74"/>
  <c r="L43" i="74"/>
  <c r="J43" i="74"/>
  <c r="F43" i="74"/>
  <c r="B43" i="74"/>
  <c r="X42" i="74"/>
  <c r="Z42" i="74" s="1"/>
  <c r="L42" i="74"/>
  <c r="N42" i="74" s="1"/>
  <c r="B42" i="74"/>
  <c r="Z41" i="74"/>
  <c r="X41" i="74"/>
  <c r="V41" i="74"/>
  <c r="N41" i="74"/>
  <c r="L41" i="74"/>
  <c r="B41" i="74"/>
  <c r="Z40" i="74"/>
  <c r="X40" i="74"/>
  <c r="N40" i="74"/>
  <c r="L40" i="74"/>
  <c r="B40" i="74"/>
  <c r="Z39" i="74"/>
  <c r="X39" i="74"/>
  <c r="V39" i="74"/>
  <c r="N39" i="74"/>
  <c r="L39" i="74"/>
  <c r="B39" i="74"/>
  <c r="X38" i="74"/>
  <c r="Z38" i="74" s="1"/>
  <c r="V38" i="74"/>
  <c r="L38" i="74"/>
  <c r="N38" i="74" s="1"/>
  <c r="F38" i="74"/>
  <c r="B38" i="74"/>
  <c r="Z37" i="74"/>
  <c r="X37" i="74"/>
  <c r="V37" i="74"/>
  <c r="N37" i="74"/>
  <c r="L37" i="74"/>
  <c r="J37" i="74"/>
  <c r="B37" i="74"/>
  <c r="X36" i="74"/>
  <c r="Z36" i="74" s="1"/>
  <c r="L36" i="74"/>
  <c r="N36" i="74" s="1"/>
  <c r="F36" i="74"/>
  <c r="B36" i="74"/>
  <c r="Z35" i="74"/>
  <c r="X35" i="74"/>
  <c r="N35" i="74"/>
  <c r="L35" i="74"/>
  <c r="B35" i="74"/>
  <c r="T34" i="74"/>
  <c r="P34" i="74"/>
  <c r="X34" i="74" s="1"/>
  <c r="L34" i="74"/>
  <c r="N34" i="74" s="1"/>
  <c r="H34" i="74"/>
  <c r="D34" i="74"/>
  <c r="B34" i="74"/>
  <c r="Z33" i="74"/>
  <c r="X33" i="74"/>
  <c r="V33" i="74"/>
  <c r="N33" i="74"/>
  <c r="L33" i="74"/>
  <c r="B33" i="74"/>
  <c r="X32" i="74"/>
  <c r="Z32" i="74" s="1"/>
  <c r="L32" i="74"/>
  <c r="N32" i="74" s="1"/>
  <c r="B32" i="74"/>
  <c r="Z31" i="74"/>
  <c r="X31" i="74"/>
  <c r="N31" i="74"/>
  <c r="L31" i="74"/>
  <c r="J31" i="74"/>
  <c r="B31" i="74"/>
  <c r="Z30" i="74"/>
  <c r="X30" i="74"/>
  <c r="N30" i="74"/>
  <c r="L30" i="74"/>
  <c r="J30" i="74"/>
  <c r="B30" i="74"/>
  <c r="Z29" i="74"/>
  <c r="X29" i="74"/>
  <c r="V29" i="74"/>
  <c r="N29" i="74"/>
  <c r="L29" i="74"/>
  <c r="J29" i="74"/>
  <c r="B29" i="74"/>
  <c r="X28" i="74"/>
  <c r="Z28" i="74" s="1"/>
  <c r="N28" i="74"/>
  <c r="L28" i="74"/>
  <c r="B28" i="74"/>
  <c r="Z27" i="74"/>
  <c r="X27" i="74"/>
  <c r="V27" i="74"/>
  <c r="N27" i="74"/>
  <c r="L27" i="74"/>
  <c r="B27" i="74"/>
  <c r="X26" i="74"/>
  <c r="Z26" i="74" s="1"/>
  <c r="V26" i="74"/>
  <c r="L26" i="74"/>
  <c r="N26" i="74" s="1"/>
  <c r="B26" i="74"/>
  <c r="Z25" i="74"/>
  <c r="X25" i="74"/>
  <c r="V25" i="74"/>
  <c r="N25" i="74"/>
  <c r="L25" i="74"/>
  <c r="B25" i="74"/>
  <c r="X24" i="74"/>
  <c r="Z24" i="74" s="1"/>
  <c r="T24" i="74"/>
  <c r="P24" i="74"/>
  <c r="L24" i="74"/>
  <c r="J24" i="74"/>
  <c r="H24" i="74"/>
  <c r="D24" i="74"/>
  <c r="B24" i="74"/>
  <c r="Z23" i="74"/>
  <c r="T23" i="74"/>
  <c r="V23" i="74" s="1"/>
  <c r="P23" i="74"/>
  <c r="X23" i="74" s="1"/>
  <c r="H23" i="74"/>
  <c r="D23" i="74"/>
  <c r="Z19" i="74"/>
  <c r="X19" i="74"/>
  <c r="V19" i="74"/>
  <c r="N19" i="74"/>
  <c r="L19" i="74"/>
  <c r="B19" i="74"/>
  <c r="Z18" i="74"/>
  <c r="X18" i="74"/>
  <c r="V18" i="74"/>
  <c r="N18" i="74"/>
  <c r="L18" i="74"/>
  <c r="B18" i="74"/>
  <c r="X17" i="74"/>
  <c r="Z17" i="74" s="1"/>
  <c r="V17" i="74"/>
  <c r="N17" i="74"/>
  <c r="L17" i="74"/>
  <c r="B17" i="74"/>
  <c r="V16" i="74"/>
  <c r="T16" i="74"/>
  <c r="P16" i="74"/>
  <c r="X16" i="74" s="1"/>
  <c r="Z16" i="74" s="1"/>
  <c r="H16" i="74"/>
  <c r="D16" i="74"/>
  <c r="X14" i="74"/>
  <c r="Z14" i="74" s="1"/>
  <c r="P14" i="74"/>
  <c r="L14" i="74"/>
  <c r="N14" i="74" s="1"/>
  <c r="D14" i="74"/>
  <c r="B14" i="74"/>
  <c r="P13" i="74"/>
  <c r="X13" i="74" s="1"/>
  <c r="Z13" i="74" s="1"/>
  <c r="L13" i="74"/>
  <c r="N13" i="74" s="1"/>
  <c r="D13" i="74"/>
  <c r="B13" i="74"/>
  <c r="T12" i="74"/>
  <c r="P12" i="74"/>
  <c r="H12" i="74"/>
  <c r="D12" i="74"/>
  <c r="F67" i="74" s="1"/>
  <c r="D6" i="74"/>
  <c r="D4" i="74"/>
  <c r="X27" i="73"/>
  <c r="Z27" i="73" s="1"/>
  <c r="R27" i="73"/>
  <c r="N27" i="73"/>
  <c r="L27" i="73"/>
  <c r="Z23" i="73"/>
  <c r="T23" i="73"/>
  <c r="P23" i="73"/>
  <c r="X23" i="73" s="1"/>
  <c r="L23" i="73"/>
  <c r="H23" i="73"/>
  <c r="N23" i="73" s="1"/>
  <c r="D23" i="73"/>
  <c r="T21" i="73"/>
  <c r="Z21" i="73" s="1"/>
  <c r="P21" i="73"/>
  <c r="X21" i="73" s="1"/>
  <c r="H21" i="73"/>
  <c r="N21" i="73" s="1"/>
  <c r="D21" i="73"/>
  <c r="P19" i="73"/>
  <c r="P25" i="73" s="1"/>
  <c r="H19" i="73"/>
  <c r="X17" i="73"/>
  <c r="Z17" i="73" s="1"/>
  <c r="R17" i="73"/>
  <c r="N17" i="73"/>
  <c r="L17" i="73"/>
  <c r="B17" i="73"/>
  <c r="T16" i="73"/>
  <c r="R16" i="73"/>
  <c r="P16" i="73"/>
  <c r="J16" i="73"/>
  <c r="H16" i="73"/>
  <c r="N16" i="73" s="1"/>
  <c r="D16" i="73"/>
  <c r="L16" i="73" s="1"/>
  <c r="Z14" i="73"/>
  <c r="X14" i="73"/>
  <c r="P14" i="73"/>
  <c r="N14" i="73"/>
  <c r="L14" i="73"/>
  <c r="D14" i="73"/>
  <c r="B14" i="73"/>
  <c r="X13" i="73"/>
  <c r="Z13" i="73" s="1"/>
  <c r="P13" i="73"/>
  <c r="D13" i="73"/>
  <c r="B13" i="73"/>
  <c r="T12" i="73"/>
  <c r="V16" i="73" s="1"/>
  <c r="P12" i="73"/>
  <c r="H12" i="73"/>
  <c r="D6" i="73"/>
  <c r="D4" i="73"/>
  <c r="R31" i="72"/>
  <c r="V28" i="72"/>
  <c r="F28" i="72"/>
  <c r="Z26" i="72"/>
  <c r="X26" i="72"/>
  <c r="N26" i="72"/>
  <c r="L26" i="72"/>
  <c r="F26" i="72"/>
  <c r="R24" i="72"/>
  <c r="Z22" i="72"/>
  <c r="T22" i="72"/>
  <c r="X22" i="72" s="1"/>
  <c r="R22" i="72"/>
  <c r="P22" i="72"/>
  <c r="H22" i="72"/>
  <c r="N22" i="72" s="1"/>
  <c r="F22" i="72"/>
  <c r="D22" i="72"/>
  <c r="L22" i="72" s="1"/>
  <c r="Z20" i="72"/>
  <c r="X20" i="72"/>
  <c r="N20" i="72"/>
  <c r="L20" i="72"/>
  <c r="B20" i="72"/>
  <c r="T19" i="72"/>
  <c r="Z19" i="72" s="1"/>
  <c r="P19" i="72"/>
  <c r="N19" i="72"/>
  <c r="L19" i="72"/>
  <c r="H19" i="72"/>
  <c r="D19" i="72"/>
  <c r="B19" i="72"/>
  <c r="Z18" i="72"/>
  <c r="X18" i="72"/>
  <c r="T18" i="72"/>
  <c r="P18" i="72"/>
  <c r="H18" i="72"/>
  <c r="F18" i="72"/>
  <c r="D18" i="72"/>
  <c r="R16" i="72"/>
  <c r="F16" i="72"/>
  <c r="D16" i="72"/>
  <c r="T14" i="72"/>
  <c r="Z14" i="72" s="1"/>
  <c r="P14" i="72"/>
  <c r="L14" i="72"/>
  <c r="H14" i="72"/>
  <c r="N14" i="72" s="1"/>
  <c r="F14" i="72"/>
  <c r="D14" i="72"/>
  <c r="T12" i="72"/>
  <c r="P12" i="72"/>
  <c r="H12" i="72"/>
  <c r="J14" i="72" s="1"/>
  <c r="D12" i="72"/>
  <c r="F20" i="72" s="1"/>
  <c r="D6" i="72"/>
  <c r="D4" i="72"/>
  <c r="Z73" i="71"/>
  <c r="X73" i="71"/>
  <c r="N73" i="71"/>
  <c r="L73" i="71"/>
  <c r="Z69" i="71"/>
  <c r="T69" i="71"/>
  <c r="P69" i="71"/>
  <c r="X69" i="71" s="1"/>
  <c r="L69" i="71"/>
  <c r="J69" i="71"/>
  <c r="H69" i="71"/>
  <c r="N69" i="71" s="1"/>
  <c r="D69" i="71"/>
  <c r="Z67" i="71"/>
  <c r="X67" i="71"/>
  <c r="N67" i="71"/>
  <c r="L67" i="71"/>
  <c r="B67" i="71"/>
  <c r="T66" i="71"/>
  <c r="P66" i="71"/>
  <c r="N66" i="71"/>
  <c r="H66" i="71"/>
  <c r="F66" i="71"/>
  <c r="D66" i="71"/>
  <c r="L66" i="71" s="1"/>
  <c r="B66" i="71"/>
  <c r="X65" i="71"/>
  <c r="Z65" i="71" s="1"/>
  <c r="L65" i="71"/>
  <c r="N65" i="71" s="1"/>
  <c r="J65" i="71"/>
  <c r="B65" i="71"/>
  <c r="T64" i="71"/>
  <c r="P64" i="71"/>
  <c r="X64" i="71" s="1"/>
  <c r="Z64" i="71" s="1"/>
  <c r="H64" i="71"/>
  <c r="D64" i="71"/>
  <c r="B64" i="71"/>
  <c r="Z63" i="71"/>
  <c r="X63" i="71"/>
  <c r="N63" i="71"/>
  <c r="L63" i="71"/>
  <c r="F63" i="71"/>
  <c r="B63" i="71"/>
  <c r="Z62" i="71"/>
  <c r="X62" i="71"/>
  <c r="N62" i="71"/>
  <c r="L62" i="71"/>
  <c r="J62" i="71"/>
  <c r="F62" i="71"/>
  <c r="B62" i="71"/>
  <c r="Z61" i="71"/>
  <c r="X61" i="71"/>
  <c r="N61" i="71"/>
  <c r="L61" i="71"/>
  <c r="J61" i="71"/>
  <c r="B61" i="71"/>
  <c r="Z60" i="71"/>
  <c r="X60" i="71"/>
  <c r="N60" i="71"/>
  <c r="L60" i="71"/>
  <c r="B60" i="71"/>
  <c r="T59" i="71"/>
  <c r="P59" i="71"/>
  <c r="H59" i="71"/>
  <c r="D59" i="71"/>
  <c r="L59" i="71" s="1"/>
  <c r="N59" i="71" s="1"/>
  <c r="B59" i="71"/>
  <c r="Z58" i="71"/>
  <c r="X58" i="71"/>
  <c r="N58" i="71"/>
  <c r="L58" i="71"/>
  <c r="J58" i="71"/>
  <c r="F58" i="71"/>
  <c r="B58" i="71"/>
  <c r="Z57" i="71"/>
  <c r="X57" i="71"/>
  <c r="L57" i="71"/>
  <c r="N57" i="71" s="1"/>
  <c r="J57" i="71"/>
  <c r="B57" i="71"/>
  <c r="T56" i="71"/>
  <c r="P56" i="71"/>
  <c r="X56" i="71" s="1"/>
  <c r="Z56" i="71" s="1"/>
  <c r="H56" i="71"/>
  <c r="D56" i="71"/>
  <c r="B56" i="71"/>
  <c r="Z55" i="71"/>
  <c r="X55" i="71"/>
  <c r="N55" i="71"/>
  <c r="L55" i="71"/>
  <c r="F55" i="71"/>
  <c r="B55" i="71"/>
  <c r="T54" i="71"/>
  <c r="P54" i="71"/>
  <c r="L54" i="71"/>
  <c r="N54" i="71" s="1"/>
  <c r="H54" i="71"/>
  <c r="D54" i="71"/>
  <c r="B54" i="71"/>
  <c r="X53" i="71"/>
  <c r="Z53" i="71" s="1"/>
  <c r="N53" i="71"/>
  <c r="L53" i="71"/>
  <c r="B53" i="71"/>
  <c r="X52" i="71"/>
  <c r="Z52" i="71" s="1"/>
  <c r="L52" i="71"/>
  <c r="N52" i="71" s="1"/>
  <c r="B52" i="71"/>
  <c r="T51" i="71"/>
  <c r="X51" i="71" s="1"/>
  <c r="Z51" i="71" s="1"/>
  <c r="P51" i="71"/>
  <c r="L51" i="71"/>
  <c r="N51" i="71" s="1"/>
  <c r="J51" i="71"/>
  <c r="H51" i="71"/>
  <c r="D51" i="71"/>
  <c r="B51" i="71"/>
  <c r="X50" i="71"/>
  <c r="Z50" i="71" s="1"/>
  <c r="V50" i="71"/>
  <c r="N50" i="71"/>
  <c r="L50" i="71"/>
  <c r="B50" i="71"/>
  <c r="X49" i="71"/>
  <c r="T49" i="71"/>
  <c r="P49" i="71"/>
  <c r="H49" i="71"/>
  <c r="N49" i="71" s="1"/>
  <c r="F49" i="71"/>
  <c r="D49" i="71"/>
  <c r="B49" i="71"/>
  <c r="X48" i="71"/>
  <c r="Z48" i="71" s="1"/>
  <c r="N48" i="71"/>
  <c r="L48" i="71"/>
  <c r="B48" i="71"/>
  <c r="T47" i="71"/>
  <c r="P47" i="71"/>
  <c r="H47" i="71"/>
  <c r="D47" i="71"/>
  <c r="L47" i="71" s="1"/>
  <c r="N47" i="71" s="1"/>
  <c r="B47" i="71"/>
  <c r="X46" i="71"/>
  <c r="Z46" i="71" s="1"/>
  <c r="L46" i="71"/>
  <c r="N46" i="71" s="1"/>
  <c r="J46" i="71"/>
  <c r="F46" i="71"/>
  <c r="B46" i="71"/>
  <c r="T45" i="71"/>
  <c r="P45" i="71"/>
  <c r="X45" i="71" s="1"/>
  <c r="Z45" i="71" s="1"/>
  <c r="N45" i="71"/>
  <c r="H45" i="71"/>
  <c r="L45" i="71" s="1"/>
  <c r="D45" i="71"/>
  <c r="B45" i="71"/>
  <c r="Z44" i="71"/>
  <c r="X44" i="71"/>
  <c r="N44" i="71"/>
  <c r="L44" i="71"/>
  <c r="B44" i="71"/>
  <c r="Z43" i="71"/>
  <c r="T43" i="71"/>
  <c r="P43" i="71"/>
  <c r="X43" i="71" s="1"/>
  <c r="L43" i="71"/>
  <c r="J43" i="71"/>
  <c r="H43" i="71"/>
  <c r="N43" i="71" s="1"/>
  <c r="D43" i="71"/>
  <c r="B43" i="71"/>
  <c r="Z42" i="71"/>
  <c r="X42" i="71"/>
  <c r="V42" i="71"/>
  <c r="N42" i="71"/>
  <c r="L42" i="71"/>
  <c r="B42" i="71"/>
  <c r="Z41" i="71"/>
  <c r="X41" i="71"/>
  <c r="V41" i="71"/>
  <c r="N41" i="71"/>
  <c r="L41" i="71"/>
  <c r="B41" i="71"/>
  <c r="X40" i="71"/>
  <c r="Z40" i="71" s="1"/>
  <c r="L40" i="71"/>
  <c r="N40" i="71" s="1"/>
  <c r="B40" i="71"/>
  <c r="Z39" i="71"/>
  <c r="X39" i="71"/>
  <c r="N39" i="71"/>
  <c r="L39" i="71"/>
  <c r="F39" i="71"/>
  <c r="B39" i="71"/>
  <c r="Z38" i="71"/>
  <c r="X38" i="71"/>
  <c r="N38" i="71"/>
  <c r="L38" i="71"/>
  <c r="J38" i="71"/>
  <c r="F38" i="71"/>
  <c r="B38" i="71"/>
  <c r="Z37" i="71"/>
  <c r="X37" i="71"/>
  <c r="N37" i="71"/>
  <c r="L37" i="71"/>
  <c r="J37" i="71"/>
  <c r="B37" i="71"/>
  <c r="X36" i="71"/>
  <c r="Z36" i="71" s="1"/>
  <c r="L36" i="71"/>
  <c r="N36" i="71" s="1"/>
  <c r="B36" i="71"/>
  <c r="Z35" i="71"/>
  <c r="X35" i="71"/>
  <c r="N35" i="71"/>
  <c r="L35" i="71"/>
  <c r="B35" i="71"/>
  <c r="Z34" i="71"/>
  <c r="X34" i="71"/>
  <c r="N34" i="71"/>
  <c r="L34" i="71"/>
  <c r="B34" i="71"/>
  <c r="Z33" i="71"/>
  <c r="X33" i="71"/>
  <c r="N33" i="71"/>
  <c r="L33" i="71"/>
  <c r="B33" i="71"/>
  <c r="Z32" i="71"/>
  <c r="X32" i="71"/>
  <c r="T32" i="71"/>
  <c r="P32" i="71"/>
  <c r="J32" i="71"/>
  <c r="H32" i="71"/>
  <c r="D32" i="71"/>
  <c r="L32" i="71" s="1"/>
  <c r="B32" i="71"/>
  <c r="Z31" i="71"/>
  <c r="X31" i="71"/>
  <c r="N31" i="71"/>
  <c r="L31" i="71"/>
  <c r="B31" i="71"/>
  <c r="Z30" i="71"/>
  <c r="X30" i="71"/>
  <c r="V30" i="71"/>
  <c r="L30" i="71"/>
  <c r="N30" i="71" s="1"/>
  <c r="B30" i="71"/>
  <c r="Z29" i="71"/>
  <c r="X29" i="71"/>
  <c r="V29" i="71"/>
  <c r="N29" i="71"/>
  <c r="L29" i="71"/>
  <c r="B29" i="71"/>
  <c r="Z28" i="71"/>
  <c r="X28" i="71"/>
  <c r="N28" i="71"/>
  <c r="L28" i="71"/>
  <c r="B28" i="71"/>
  <c r="Z27" i="71"/>
  <c r="X27" i="71"/>
  <c r="N27" i="71"/>
  <c r="L27" i="71"/>
  <c r="F27" i="71"/>
  <c r="B27" i="71"/>
  <c r="X26" i="71"/>
  <c r="Z26" i="71" s="1"/>
  <c r="L26" i="71"/>
  <c r="N26" i="71" s="1"/>
  <c r="J26" i="71"/>
  <c r="F26" i="71"/>
  <c r="B26" i="71"/>
  <c r="Z25" i="71"/>
  <c r="X25" i="71"/>
  <c r="N25" i="71"/>
  <c r="L25" i="71"/>
  <c r="J25" i="71"/>
  <c r="B25" i="71"/>
  <c r="X24" i="71"/>
  <c r="Z24" i="71" s="1"/>
  <c r="L24" i="71"/>
  <c r="N24" i="71" s="1"/>
  <c r="B24" i="71"/>
  <c r="Z23" i="71"/>
  <c r="X23" i="71"/>
  <c r="N23" i="71"/>
  <c r="L23" i="71"/>
  <c r="B23" i="71"/>
  <c r="T22" i="71"/>
  <c r="P22" i="71"/>
  <c r="H22" i="71"/>
  <c r="F22" i="71"/>
  <c r="D22" i="71"/>
  <c r="L22" i="71" s="1"/>
  <c r="N22" i="71" s="1"/>
  <c r="B22" i="71"/>
  <c r="T21" i="71"/>
  <c r="P21" i="71"/>
  <c r="X21" i="71" s="1"/>
  <c r="N21" i="71"/>
  <c r="H21" i="71"/>
  <c r="D21" i="71"/>
  <c r="L21" i="71" s="1"/>
  <c r="H19" i="71"/>
  <c r="F19" i="71"/>
  <c r="X17" i="71"/>
  <c r="Z17" i="71" s="1"/>
  <c r="L17" i="71"/>
  <c r="N17" i="71" s="1"/>
  <c r="J17" i="71"/>
  <c r="B17" i="71"/>
  <c r="T16" i="71"/>
  <c r="P16" i="71"/>
  <c r="X16" i="71" s="1"/>
  <c r="Z16" i="71" s="1"/>
  <c r="H16" i="71"/>
  <c r="D16" i="71"/>
  <c r="Z14" i="71"/>
  <c r="X14" i="71"/>
  <c r="P14" i="71"/>
  <c r="D14" i="71"/>
  <c r="L14" i="71" s="1"/>
  <c r="N14" i="71" s="1"/>
  <c r="B14" i="71"/>
  <c r="X13" i="71"/>
  <c r="Z13" i="71" s="1"/>
  <c r="P13" i="71"/>
  <c r="P12" i="71" s="1"/>
  <c r="D13" i="71"/>
  <c r="L13" i="71" s="1"/>
  <c r="N13" i="71" s="1"/>
  <c r="B13" i="71"/>
  <c r="T12" i="71"/>
  <c r="V66" i="71" s="1"/>
  <c r="H12" i="71"/>
  <c r="J60" i="71" s="1"/>
  <c r="D12" i="71"/>
  <c r="F65" i="71" s="1"/>
  <c r="D6" i="71"/>
  <c r="D4" i="71"/>
  <c r="X81" i="69"/>
  <c r="Z81" i="69" s="1"/>
  <c r="N81" i="69"/>
  <c r="L81" i="69"/>
  <c r="J81" i="69"/>
  <c r="Z77" i="69"/>
  <c r="X77" i="69"/>
  <c r="P77" i="69"/>
  <c r="D77" i="69"/>
  <c r="L77" i="69" s="1"/>
  <c r="N77" i="69" s="1"/>
  <c r="B77" i="69"/>
  <c r="Z76" i="69"/>
  <c r="P76" i="69"/>
  <c r="X76" i="69" s="1"/>
  <c r="N76" i="69"/>
  <c r="L76" i="69"/>
  <c r="J76" i="69"/>
  <c r="D76" i="69"/>
  <c r="B76" i="69"/>
  <c r="Z75" i="69"/>
  <c r="P75" i="69"/>
  <c r="N75" i="69"/>
  <c r="D75" i="69"/>
  <c r="L75" i="69" s="1"/>
  <c r="B75" i="69"/>
  <c r="V74" i="69"/>
  <c r="T74" i="69"/>
  <c r="H74" i="69"/>
  <c r="Z72" i="69"/>
  <c r="X72" i="69"/>
  <c r="L72" i="69"/>
  <c r="N72" i="69" s="1"/>
  <c r="J72" i="69"/>
  <c r="B72" i="69"/>
  <c r="T71" i="69"/>
  <c r="P71" i="69"/>
  <c r="X71" i="69" s="1"/>
  <c r="H71" i="69"/>
  <c r="D71" i="69"/>
  <c r="B71" i="69"/>
  <c r="Z70" i="69"/>
  <c r="X70" i="69"/>
  <c r="N70" i="69"/>
  <c r="L70" i="69"/>
  <c r="B70" i="69"/>
  <c r="X69" i="69"/>
  <c r="Z69" i="69" s="1"/>
  <c r="N69" i="69"/>
  <c r="L69" i="69"/>
  <c r="J69" i="69"/>
  <c r="B69" i="69"/>
  <c r="T68" i="69"/>
  <c r="P68" i="69"/>
  <c r="X68" i="69" s="1"/>
  <c r="N68" i="69"/>
  <c r="H68" i="69"/>
  <c r="D68" i="69"/>
  <c r="L68" i="69" s="1"/>
  <c r="B68" i="69"/>
  <c r="Z67" i="69"/>
  <c r="X67" i="69"/>
  <c r="L67" i="69"/>
  <c r="N67" i="69" s="1"/>
  <c r="B67" i="69"/>
  <c r="Z66" i="69"/>
  <c r="T66" i="69"/>
  <c r="P66" i="69"/>
  <c r="X66" i="69" s="1"/>
  <c r="L66" i="69"/>
  <c r="N66" i="69" s="1"/>
  <c r="H66" i="69"/>
  <c r="D66" i="69"/>
  <c r="B66" i="69"/>
  <c r="Z65" i="69"/>
  <c r="X65" i="69"/>
  <c r="L65" i="69"/>
  <c r="N65" i="69" s="1"/>
  <c r="B65" i="69"/>
  <c r="X64" i="69"/>
  <c r="Z64" i="69" s="1"/>
  <c r="T64" i="69"/>
  <c r="P64" i="69"/>
  <c r="H64" i="69"/>
  <c r="D64" i="69"/>
  <c r="B64" i="69"/>
  <c r="X63" i="69"/>
  <c r="Z63" i="69" s="1"/>
  <c r="L63" i="69"/>
  <c r="N63" i="69" s="1"/>
  <c r="B63" i="69"/>
  <c r="T62" i="69"/>
  <c r="P62" i="69"/>
  <c r="H62" i="69"/>
  <c r="D62" i="69"/>
  <c r="L62" i="69" s="1"/>
  <c r="B62" i="69"/>
  <c r="X61" i="69"/>
  <c r="Z61" i="69" s="1"/>
  <c r="N61" i="69"/>
  <c r="L61" i="69"/>
  <c r="J61" i="69"/>
  <c r="B61" i="69"/>
  <c r="T60" i="69"/>
  <c r="P60" i="69"/>
  <c r="X60" i="69" s="1"/>
  <c r="N60" i="69"/>
  <c r="H60" i="69"/>
  <c r="D60" i="69"/>
  <c r="L60" i="69" s="1"/>
  <c r="B60" i="69"/>
  <c r="Z59" i="69"/>
  <c r="X59" i="69"/>
  <c r="N59" i="69"/>
  <c r="L59" i="69"/>
  <c r="B59" i="69"/>
  <c r="Z58" i="69"/>
  <c r="T58" i="69"/>
  <c r="P58" i="69"/>
  <c r="X58" i="69" s="1"/>
  <c r="L58" i="69"/>
  <c r="H58" i="69"/>
  <c r="N58" i="69" s="1"/>
  <c r="D58" i="69"/>
  <c r="B58" i="69"/>
  <c r="Z57" i="69"/>
  <c r="X57" i="69"/>
  <c r="V57" i="69"/>
  <c r="N57" i="69"/>
  <c r="L57" i="69"/>
  <c r="B57" i="69"/>
  <c r="X56" i="69"/>
  <c r="T56" i="69"/>
  <c r="P56" i="69"/>
  <c r="H56" i="69"/>
  <c r="D56" i="69"/>
  <c r="B56" i="69"/>
  <c r="Z55" i="69"/>
  <c r="X55" i="69"/>
  <c r="N55" i="69"/>
  <c r="L55" i="69"/>
  <c r="B55" i="69"/>
  <c r="Z54" i="69"/>
  <c r="X54" i="69"/>
  <c r="N54" i="69"/>
  <c r="L54" i="69"/>
  <c r="B54" i="69"/>
  <c r="Z53" i="69"/>
  <c r="X53" i="69"/>
  <c r="N53" i="69"/>
  <c r="L53" i="69"/>
  <c r="B53" i="69"/>
  <c r="X52" i="69"/>
  <c r="Z52" i="69" s="1"/>
  <c r="V52" i="69"/>
  <c r="N52" i="69"/>
  <c r="L52" i="69"/>
  <c r="B52" i="69"/>
  <c r="Z51" i="69"/>
  <c r="X51" i="69"/>
  <c r="N51" i="69"/>
  <c r="L51" i="69"/>
  <c r="B51" i="69"/>
  <c r="Z50" i="69"/>
  <c r="X50" i="69"/>
  <c r="N50" i="69"/>
  <c r="L50" i="69"/>
  <c r="B50" i="69"/>
  <c r="X49" i="69"/>
  <c r="Z49" i="69" s="1"/>
  <c r="N49" i="69"/>
  <c r="L49" i="69"/>
  <c r="B49" i="69"/>
  <c r="Z48" i="69"/>
  <c r="X48" i="69"/>
  <c r="N48" i="69"/>
  <c r="L48" i="69"/>
  <c r="B48" i="69"/>
  <c r="X47" i="69"/>
  <c r="Z47" i="69" s="1"/>
  <c r="L47" i="69"/>
  <c r="N47" i="69" s="1"/>
  <c r="B47" i="69"/>
  <c r="Z46" i="69"/>
  <c r="X46" i="69"/>
  <c r="N46" i="69"/>
  <c r="L46" i="69"/>
  <c r="B46" i="69"/>
  <c r="V45" i="69"/>
  <c r="T45" i="69"/>
  <c r="P45" i="69"/>
  <c r="X45" i="69" s="1"/>
  <c r="H45" i="69"/>
  <c r="D45" i="69"/>
  <c r="L45" i="69" s="1"/>
  <c r="N45" i="69" s="1"/>
  <c r="B45" i="69"/>
  <c r="X44" i="69"/>
  <c r="Z44" i="69" s="1"/>
  <c r="L44" i="69"/>
  <c r="N44" i="69" s="1"/>
  <c r="J44" i="69"/>
  <c r="B44" i="69"/>
  <c r="X43" i="69"/>
  <c r="Z43" i="69" s="1"/>
  <c r="L43" i="69"/>
  <c r="N43" i="69" s="1"/>
  <c r="B43" i="69"/>
  <c r="Z42" i="69"/>
  <c r="X42" i="69"/>
  <c r="N42" i="69"/>
  <c r="L42" i="69"/>
  <c r="B42" i="69"/>
  <c r="Z41" i="69"/>
  <c r="X41" i="69"/>
  <c r="V41" i="69"/>
  <c r="N41" i="69"/>
  <c r="L41" i="69"/>
  <c r="B41" i="69"/>
  <c r="Z40" i="69"/>
  <c r="X40" i="69"/>
  <c r="N40" i="69"/>
  <c r="L40" i="69"/>
  <c r="B40" i="69"/>
  <c r="X39" i="69"/>
  <c r="Z39" i="69" s="1"/>
  <c r="L39" i="69"/>
  <c r="N39" i="69" s="1"/>
  <c r="B39" i="69"/>
  <c r="Z38" i="69"/>
  <c r="X38" i="69"/>
  <c r="N38" i="69"/>
  <c r="L38" i="69"/>
  <c r="B38" i="69"/>
  <c r="X37" i="69"/>
  <c r="Z37" i="69" s="1"/>
  <c r="N37" i="69"/>
  <c r="L37" i="69"/>
  <c r="J37" i="69"/>
  <c r="B37" i="69"/>
  <c r="X36" i="69"/>
  <c r="Z36" i="69" s="1"/>
  <c r="L36" i="69"/>
  <c r="N36" i="69" s="1"/>
  <c r="B36" i="69"/>
  <c r="X35" i="69"/>
  <c r="Z35" i="69" s="1"/>
  <c r="L35" i="69"/>
  <c r="N35" i="69" s="1"/>
  <c r="B35" i="69"/>
  <c r="T34" i="69"/>
  <c r="P34" i="69"/>
  <c r="H34" i="69"/>
  <c r="D34" i="69"/>
  <c r="L34" i="69" s="1"/>
  <c r="B34" i="69"/>
  <c r="T33" i="69"/>
  <c r="Z33" i="69" s="1"/>
  <c r="P33" i="69"/>
  <c r="X33" i="69" s="1"/>
  <c r="L33" i="69"/>
  <c r="N33" i="69" s="1"/>
  <c r="H33" i="69"/>
  <c r="D33" i="69"/>
  <c r="Z29" i="69"/>
  <c r="X29" i="69"/>
  <c r="N29" i="69"/>
  <c r="L29" i="69"/>
  <c r="J29" i="69"/>
  <c r="B29" i="69"/>
  <c r="Z28" i="69"/>
  <c r="X28" i="69"/>
  <c r="N28" i="69"/>
  <c r="L28" i="69"/>
  <c r="B28" i="69"/>
  <c r="Z27" i="69"/>
  <c r="X27" i="69"/>
  <c r="N27" i="69"/>
  <c r="L27" i="69"/>
  <c r="B27" i="69"/>
  <c r="Z26" i="69"/>
  <c r="X26" i="69"/>
  <c r="N26" i="69"/>
  <c r="L26" i="69"/>
  <c r="B26" i="69"/>
  <c r="Z25" i="69"/>
  <c r="X25" i="69"/>
  <c r="N25" i="69"/>
  <c r="L25" i="69"/>
  <c r="B25" i="69"/>
  <c r="Z24" i="69"/>
  <c r="X24" i="69"/>
  <c r="N24" i="69"/>
  <c r="L24" i="69"/>
  <c r="J24" i="69"/>
  <c r="B24" i="69"/>
  <c r="Z23" i="69"/>
  <c r="X23" i="69"/>
  <c r="N23" i="69"/>
  <c r="L23" i="69"/>
  <c r="B23" i="69"/>
  <c r="Z22" i="69"/>
  <c r="X22" i="69"/>
  <c r="N22" i="69"/>
  <c r="L22" i="69"/>
  <c r="B22" i="69"/>
  <c r="Z21" i="69"/>
  <c r="X21" i="69"/>
  <c r="N21" i="69"/>
  <c r="L21" i="69"/>
  <c r="J21" i="69"/>
  <c r="B21" i="69"/>
  <c r="Z20" i="69"/>
  <c r="X20" i="69"/>
  <c r="V20" i="69"/>
  <c r="L20" i="69"/>
  <c r="N20" i="69" s="1"/>
  <c r="J20" i="69"/>
  <c r="B20" i="69"/>
  <c r="T19" i="69"/>
  <c r="P19" i="69"/>
  <c r="H19" i="69"/>
  <c r="D19" i="69"/>
  <c r="L19" i="69" s="1"/>
  <c r="Z17" i="69"/>
  <c r="X17" i="69"/>
  <c r="P17" i="69"/>
  <c r="N17" i="69"/>
  <c r="D17" i="69"/>
  <c r="L17" i="69" s="1"/>
  <c r="B17" i="69"/>
  <c r="Z16" i="69"/>
  <c r="X16" i="69"/>
  <c r="P16" i="69"/>
  <c r="N16" i="69"/>
  <c r="L16" i="69"/>
  <c r="D16" i="69"/>
  <c r="B16" i="69"/>
  <c r="Z15" i="69"/>
  <c r="P15" i="69"/>
  <c r="X15" i="69" s="1"/>
  <c r="N15" i="69"/>
  <c r="D15" i="69"/>
  <c r="L15" i="69" s="1"/>
  <c r="B15" i="69"/>
  <c r="P14" i="69"/>
  <c r="X14" i="69" s="1"/>
  <c r="Z14" i="69" s="1"/>
  <c r="L14" i="69"/>
  <c r="N14" i="69" s="1"/>
  <c r="D14" i="69"/>
  <c r="B14" i="69"/>
  <c r="X13" i="69"/>
  <c r="Z13" i="69" s="1"/>
  <c r="P13" i="69"/>
  <c r="D13" i="69"/>
  <c r="B13" i="69"/>
  <c r="T12" i="69"/>
  <c r="V65" i="69" s="1"/>
  <c r="H12" i="69"/>
  <c r="D6" i="69"/>
  <c r="D4" i="69"/>
  <c r="X76" i="68"/>
  <c r="Z76" i="68" s="1"/>
  <c r="N76" i="68"/>
  <c r="L76" i="68"/>
  <c r="Z72" i="68"/>
  <c r="P72" i="68"/>
  <c r="X72" i="68" s="1"/>
  <c r="N72" i="68"/>
  <c r="L72" i="68"/>
  <c r="D72" i="68"/>
  <c r="B72" i="68"/>
  <c r="V71" i="68"/>
  <c r="T71" i="68"/>
  <c r="P71" i="68"/>
  <c r="X71" i="68" s="1"/>
  <c r="Z71" i="68" s="1"/>
  <c r="H71" i="68"/>
  <c r="N71" i="68" s="1"/>
  <c r="D71" i="68"/>
  <c r="L71" i="68" s="1"/>
  <c r="X69" i="68"/>
  <c r="Z69" i="68" s="1"/>
  <c r="L69" i="68"/>
  <c r="N69" i="68" s="1"/>
  <c r="B69" i="68"/>
  <c r="T68" i="68"/>
  <c r="P68" i="68"/>
  <c r="X68" i="68" s="1"/>
  <c r="Z68" i="68" s="1"/>
  <c r="L68" i="68"/>
  <c r="N68" i="68" s="1"/>
  <c r="J68" i="68"/>
  <c r="H68" i="68"/>
  <c r="D68" i="68"/>
  <c r="B68" i="68"/>
  <c r="Z67" i="68"/>
  <c r="X67" i="68"/>
  <c r="L67" i="68"/>
  <c r="N67" i="68" s="1"/>
  <c r="B67" i="68"/>
  <c r="X66" i="68"/>
  <c r="Z66" i="68" s="1"/>
  <c r="V66" i="68"/>
  <c r="L66" i="68"/>
  <c r="N66" i="68" s="1"/>
  <c r="B66" i="68"/>
  <c r="X65" i="68"/>
  <c r="Z65" i="68" s="1"/>
  <c r="L65" i="68"/>
  <c r="N65" i="68" s="1"/>
  <c r="B65" i="68"/>
  <c r="Z64" i="68"/>
  <c r="X64" i="68"/>
  <c r="N64" i="68"/>
  <c r="L64" i="68"/>
  <c r="B64" i="68"/>
  <c r="T63" i="68"/>
  <c r="Z63" i="68" s="1"/>
  <c r="P63" i="68"/>
  <c r="X63" i="68" s="1"/>
  <c r="L63" i="68"/>
  <c r="N63" i="68" s="1"/>
  <c r="H63" i="68"/>
  <c r="D63" i="68"/>
  <c r="B63" i="68"/>
  <c r="X62" i="68"/>
  <c r="Z62" i="68" s="1"/>
  <c r="V62" i="68"/>
  <c r="L62" i="68"/>
  <c r="N62" i="68" s="1"/>
  <c r="B62" i="68"/>
  <c r="X61" i="68"/>
  <c r="Z61" i="68" s="1"/>
  <c r="T61" i="68"/>
  <c r="P61" i="68"/>
  <c r="H61" i="68"/>
  <c r="D61" i="68"/>
  <c r="B61" i="68"/>
  <c r="Z60" i="68"/>
  <c r="X60" i="68"/>
  <c r="N60" i="68"/>
  <c r="L60" i="68"/>
  <c r="B60" i="68"/>
  <c r="Z59" i="68"/>
  <c r="X59" i="68"/>
  <c r="V59" i="68"/>
  <c r="L59" i="68"/>
  <c r="N59" i="68" s="1"/>
  <c r="B59" i="68"/>
  <c r="X58" i="68"/>
  <c r="Z58" i="68" s="1"/>
  <c r="V58" i="68"/>
  <c r="L58" i="68"/>
  <c r="N58" i="68" s="1"/>
  <c r="B58" i="68"/>
  <c r="X57" i="68"/>
  <c r="Z57" i="68" s="1"/>
  <c r="T57" i="68"/>
  <c r="P57" i="68"/>
  <c r="H57" i="68"/>
  <c r="D57" i="68"/>
  <c r="B57" i="68"/>
  <c r="Z56" i="68"/>
  <c r="X56" i="68"/>
  <c r="N56" i="68"/>
  <c r="L56" i="68"/>
  <c r="B56" i="68"/>
  <c r="T55" i="68"/>
  <c r="P55" i="68"/>
  <c r="N55" i="68"/>
  <c r="H55" i="68"/>
  <c r="D55" i="68"/>
  <c r="L55" i="68" s="1"/>
  <c r="B55" i="68"/>
  <c r="X54" i="68"/>
  <c r="Z54" i="68" s="1"/>
  <c r="V54" i="68"/>
  <c r="L54" i="68"/>
  <c r="N54" i="68" s="1"/>
  <c r="J54" i="68"/>
  <c r="B54" i="68"/>
  <c r="X53" i="68"/>
  <c r="Z53" i="68" s="1"/>
  <c r="V53" i="68"/>
  <c r="L53" i="68"/>
  <c r="N53" i="68" s="1"/>
  <c r="B53" i="68"/>
  <c r="X52" i="68"/>
  <c r="Z52" i="68" s="1"/>
  <c r="T52" i="68"/>
  <c r="P52" i="68"/>
  <c r="H52" i="68"/>
  <c r="D52" i="68"/>
  <c r="L52" i="68" s="1"/>
  <c r="B52" i="68"/>
  <c r="X51" i="68"/>
  <c r="Z51" i="68" s="1"/>
  <c r="V51" i="68"/>
  <c r="N51" i="68"/>
  <c r="L51" i="68"/>
  <c r="B51" i="68"/>
  <c r="T50" i="68"/>
  <c r="Z50" i="68" s="1"/>
  <c r="P50" i="68"/>
  <c r="X50" i="68" s="1"/>
  <c r="H50" i="68"/>
  <c r="D50" i="68"/>
  <c r="L50" i="68" s="1"/>
  <c r="N50" i="68" s="1"/>
  <c r="B50" i="68"/>
  <c r="X49" i="68"/>
  <c r="Z49" i="68" s="1"/>
  <c r="L49" i="68"/>
  <c r="N49" i="68" s="1"/>
  <c r="J49" i="68"/>
  <c r="B49" i="68"/>
  <c r="T48" i="68"/>
  <c r="P48" i="68"/>
  <c r="X48" i="68" s="1"/>
  <c r="Z48" i="68" s="1"/>
  <c r="L48" i="68"/>
  <c r="N48" i="68" s="1"/>
  <c r="J48" i="68"/>
  <c r="H48" i="68"/>
  <c r="D48" i="68"/>
  <c r="B48" i="68"/>
  <c r="Z47" i="68"/>
  <c r="X47" i="68"/>
  <c r="V47" i="68"/>
  <c r="N47" i="68"/>
  <c r="L47" i="68"/>
  <c r="B47" i="68"/>
  <c r="X46" i="68"/>
  <c r="Z46" i="68" s="1"/>
  <c r="V46" i="68"/>
  <c r="T46" i="68"/>
  <c r="P46" i="68"/>
  <c r="L46" i="68"/>
  <c r="H46" i="68"/>
  <c r="N46" i="68" s="1"/>
  <c r="D46" i="68"/>
  <c r="B46" i="68"/>
  <c r="Z45" i="68"/>
  <c r="X45" i="68"/>
  <c r="V45" i="68"/>
  <c r="N45" i="68"/>
  <c r="L45" i="68"/>
  <c r="B45" i="68"/>
  <c r="Z44" i="68"/>
  <c r="X44" i="68"/>
  <c r="V44" i="68"/>
  <c r="N44" i="68"/>
  <c r="L44" i="68"/>
  <c r="B44" i="68"/>
  <c r="Z43" i="68"/>
  <c r="X43" i="68"/>
  <c r="V43" i="68"/>
  <c r="N43" i="68"/>
  <c r="L43" i="68"/>
  <c r="B43" i="68"/>
  <c r="X42" i="68"/>
  <c r="Z42" i="68" s="1"/>
  <c r="V42" i="68"/>
  <c r="L42" i="68"/>
  <c r="N42" i="68" s="1"/>
  <c r="B42" i="68"/>
  <c r="Z41" i="68"/>
  <c r="X41" i="68"/>
  <c r="N41" i="68"/>
  <c r="L41" i="68"/>
  <c r="J41" i="68"/>
  <c r="B41" i="68"/>
  <c r="Z40" i="68"/>
  <c r="X40" i="68"/>
  <c r="N40" i="68"/>
  <c r="L40" i="68"/>
  <c r="B40" i="68"/>
  <c r="Z39" i="68"/>
  <c r="X39" i="68"/>
  <c r="V39" i="68"/>
  <c r="N39" i="68"/>
  <c r="L39" i="68"/>
  <c r="B39" i="68"/>
  <c r="Z38" i="68"/>
  <c r="X38" i="68"/>
  <c r="V38" i="68"/>
  <c r="N38" i="68"/>
  <c r="L38" i="68"/>
  <c r="J38" i="68"/>
  <c r="B38" i="68"/>
  <c r="X37" i="68"/>
  <c r="Z37" i="68" s="1"/>
  <c r="V37" i="68"/>
  <c r="L37" i="68"/>
  <c r="N37" i="68" s="1"/>
  <c r="B37" i="68"/>
  <c r="Z36" i="68"/>
  <c r="X36" i="68"/>
  <c r="V36" i="68"/>
  <c r="N36" i="68"/>
  <c r="L36" i="68"/>
  <c r="B36" i="68"/>
  <c r="T35" i="68"/>
  <c r="P35" i="68"/>
  <c r="J35" i="68"/>
  <c r="H35" i="68"/>
  <c r="D35" i="68"/>
  <c r="L35" i="68" s="1"/>
  <c r="N35" i="68" s="1"/>
  <c r="B35" i="68"/>
  <c r="X34" i="68"/>
  <c r="Z34" i="68" s="1"/>
  <c r="V34" i="68"/>
  <c r="L34" i="68"/>
  <c r="N34" i="68" s="1"/>
  <c r="J34" i="68"/>
  <c r="B34" i="68"/>
  <c r="X33" i="68"/>
  <c r="Z33" i="68" s="1"/>
  <c r="V33" i="68"/>
  <c r="L33" i="68"/>
  <c r="N33" i="68" s="1"/>
  <c r="B33" i="68"/>
  <c r="X32" i="68"/>
  <c r="Z32" i="68" s="1"/>
  <c r="V32" i="68"/>
  <c r="N32" i="68"/>
  <c r="L32" i="68"/>
  <c r="B32" i="68"/>
  <c r="Z31" i="68"/>
  <c r="X31" i="68"/>
  <c r="V31" i="68"/>
  <c r="N31" i="68"/>
  <c r="L31" i="68"/>
  <c r="B31" i="68"/>
  <c r="X30" i="68"/>
  <c r="Z30" i="68" s="1"/>
  <c r="V30" i="68"/>
  <c r="L30" i="68"/>
  <c r="N30" i="68" s="1"/>
  <c r="B30" i="68"/>
  <c r="X29" i="68"/>
  <c r="Z29" i="68" s="1"/>
  <c r="L29" i="68"/>
  <c r="N29" i="68" s="1"/>
  <c r="J29" i="68"/>
  <c r="B29" i="68"/>
  <c r="Z28" i="68"/>
  <c r="X28" i="68"/>
  <c r="L28" i="68"/>
  <c r="N28" i="68" s="1"/>
  <c r="B28" i="68"/>
  <c r="Z27" i="68"/>
  <c r="X27" i="68"/>
  <c r="V27" i="68"/>
  <c r="N27" i="68"/>
  <c r="L27" i="68"/>
  <c r="J27" i="68"/>
  <c r="B27" i="68"/>
  <c r="X26" i="68"/>
  <c r="Z26" i="68" s="1"/>
  <c r="V26" i="68"/>
  <c r="L26" i="68"/>
  <c r="N26" i="68" s="1"/>
  <c r="J26" i="68"/>
  <c r="B26" i="68"/>
  <c r="V25" i="68"/>
  <c r="T25" i="68"/>
  <c r="P25" i="68"/>
  <c r="X25" i="68" s="1"/>
  <c r="Z25" i="68" s="1"/>
  <c r="H25" i="68"/>
  <c r="D25" i="68"/>
  <c r="L25" i="68" s="1"/>
  <c r="B25" i="68"/>
  <c r="T24" i="68"/>
  <c r="P24" i="68"/>
  <c r="X24" i="68" s="1"/>
  <c r="Z24" i="68" s="1"/>
  <c r="J24" i="68"/>
  <c r="H24" i="68"/>
  <c r="D24" i="68"/>
  <c r="L24" i="68" s="1"/>
  <c r="N24" i="68" s="1"/>
  <c r="H22" i="68"/>
  <c r="Z20" i="68"/>
  <c r="X20" i="68"/>
  <c r="N20" i="68"/>
  <c r="L20" i="68"/>
  <c r="B20" i="68"/>
  <c r="V19" i="68"/>
  <c r="T19" i="68"/>
  <c r="Z19" i="68" s="1"/>
  <c r="P19" i="68"/>
  <c r="X19" i="68" s="1"/>
  <c r="N19" i="68"/>
  <c r="L19" i="68"/>
  <c r="H19" i="68"/>
  <c r="D19" i="68"/>
  <c r="Z17" i="68"/>
  <c r="P17" i="68"/>
  <c r="X17" i="68" s="1"/>
  <c r="N17" i="68"/>
  <c r="L17" i="68"/>
  <c r="D17" i="68"/>
  <c r="B17" i="68"/>
  <c r="Z16" i="68"/>
  <c r="X16" i="68"/>
  <c r="P16" i="68"/>
  <c r="N16" i="68"/>
  <c r="L16" i="68"/>
  <c r="D16" i="68"/>
  <c r="B16" i="68"/>
  <c r="Z15" i="68"/>
  <c r="P15" i="68"/>
  <c r="P12" i="68" s="1"/>
  <c r="N15" i="68"/>
  <c r="D15" i="68"/>
  <c r="B15" i="68"/>
  <c r="X14" i="68"/>
  <c r="Z14" i="68" s="1"/>
  <c r="P14" i="68"/>
  <c r="D14" i="68"/>
  <c r="L14" i="68" s="1"/>
  <c r="N14" i="68" s="1"/>
  <c r="B14" i="68"/>
  <c r="P13" i="68"/>
  <c r="X13" i="68" s="1"/>
  <c r="Z13" i="68" s="1"/>
  <c r="L13" i="68"/>
  <c r="N13" i="68" s="1"/>
  <c r="D13" i="68"/>
  <c r="B13" i="68"/>
  <c r="T12" i="68"/>
  <c r="V69" i="68" s="1"/>
  <c r="H12" i="68"/>
  <c r="J63" i="68" s="1"/>
  <c r="D6" i="68"/>
  <c r="D4" i="68"/>
  <c r="X109" i="67"/>
  <c r="Z109" i="67" s="1"/>
  <c r="L109" i="67"/>
  <c r="N109" i="67" s="1"/>
  <c r="J109" i="67"/>
  <c r="Z105" i="67"/>
  <c r="X105" i="67"/>
  <c r="P105" i="67"/>
  <c r="N105" i="67"/>
  <c r="D105" i="67"/>
  <c r="L105" i="67" s="1"/>
  <c r="B105" i="67"/>
  <c r="Z104" i="67"/>
  <c r="P104" i="67"/>
  <c r="X104" i="67" s="1"/>
  <c r="N104" i="67"/>
  <c r="L104" i="67"/>
  <c r="J104" i="67"/>
  <c r="D104" i="67"/>
  <c r="B104" i="67"/>
  <c r="P103" i="67"/>
  <c r="D103" i="67"/>
  <c r="L103" i="67" s="1"/>
  <c r="N103" i="67" s="1"/>
  <c r="B103" i="67"/>
  <c r="T102" i="67"/>
  <c r="H102" i="67"/>
  <c r="Z100" i="67"/>
  <c r="X100" i="67"/>
  <c r="L100" i="67"/>
  <c r="N100" i="67" s="1"/>
  <c r="B100" i="67"/>
  <c r="X99" i="67"/>
  <c r="T99" i="67"/>
  <c r="Z99" i="67" s="1"/>
  <c r="P99" i="67"/>
  <c r="H99" i="67"/>
  <c r="D99" i="67"/>
  <c r="B99" i="67"/>
  <c r="Z98" i="67"/>
  <c r="X98" i="67"/>
  <c r="N98" i="67"/>
  <c r="L98" i="67"/>
  <c r="B98" i="67"/>
  <c r="T97" i="67"/>
  <c r="P97" i="67"/>
  <c r="N97" i="67"/>
  <c r="H97" i="67"/>
  <c r="D97" i="67"/>
  <c r="L97" i="67" s="1"/>
  <c r="B97" i="67"/>
  <c r="X96" i="67"/>
  <c r="Z96" i="67" s="1"/>
  <c r="N96" i="67"/>
  <c r="L96" i="67"/>
  <c r="J96" i="67"/>
  <c r="B96" i="67"/>
  <c r="Z95" i="67"/>
  <c r="X95" i="67"/>
  <c r="L95" i="67"/>
  <c r="N95" i="67" s="1"/>
  <c r="B95" i="67"/>
  <c r="Z94" i="67"/>
  <c r="X94" i="67"/>
  <c r="N94" i="67"/>
  <c r="L94" i="67"/>
  <c r="B94" i="67"/>
  <c r="T93" i="67"/>
  <c r="P93" i="67"/>
  <c r="H93" i="67"/>
  <c r="D93" i="67"/>
  <c r="L93" i="67" s="1"/>
  <c r="N93" i="67" s="1"/>
  <c r="B93" i="67"/>
  <c r="Z92" i="67"/>
  <c r="X92" i="67"/>
  <c r="N92" i="67"/>
  <c r="L92" i="67"/>
  <c r="J92" i="67"/>
  <c r="B92" i="67"/>
  <c r="Z91" i="67"/>
  <c r="X91" i="67"/>
  <c r="N91" i="67"/>
  <c r="L91" i="67"/>
  <c r="B91" i="67"/>
  <c r="T90" i="67"/>
  <c r="P90" i="67"/>
  <c r="X90" i="67" s="1"/>
  <c r="N90" i="67"/>
  <c r="L90" i="67"/>
  <c r="H90" i="67"/>
  <c r="D90" i="67"/>
  <c r="B90" i="67"/>
  <c r="Z89" i="67"/>
  <c r="X89" i="67"/>
  <c r="N89" i="67"/>
  <c r="L89" i="67"/>
  <c r="B89" i="67"/>
  <c r="X88" i="67"/>
  <c r="Z88" i="67" s="1"/>
  <c r="N88" i="67"/>
  <c r="L88" i="67"/>
  <c r="J88" i="67"/>
  <c r="B88" i="67"/>
  <c r="Z87" i="67"/>
  <c r="X87" i="67"/>
  <c r="L87" i="67"/>
  <c r="N87" i="67" s="1"/>
  <c r="B87" i="67"/>
  <c r="T86" i="67"/>
  <c r="P86" i="67"/>
  <c r="X86" i="67" s="1"/>
  <c r="L86" i="67"/>
  <c r="N86" i="67" s="1"/>
  <c r="H86" i="67"/>
  <c r="D86" i="67"/>
  <c r="B86" i="67"/>
  <c r="Z85" i="67"/>
  <c r="X85" i="67"/>
  <c r="N85" i="67"/>
  <c r="L85" i="67"/>
  <c r="B85" i="67"/>
  <c r="Z84" i="67"/>
  <c r="X84" i="67"/>
  <c r="N84" i="67"/>
  <c r="L84" i="67"/>
  <c r="J84" i="67"/>
  <c r="B84" i="67"/>
  <c r="Z83" i="67"/>
  <c r="T83" i="67"/>
  <c r="P83" i="67"/>
  <c r="X83" i="67" s="1"/>
  <c r="N83" i="67"/>
  <c r="J83" i="67"/>
  <c r="H83" i="67"/>
  <c r="D83" i="67"/>
  <c r="L83" i="67" s="1"/>
  <c r="B83" i="67"/>
  <c r="Z82" i="67"/>
  <c r="X82" i="67"/>
  <c r="N82" i="67"/>
  <c r="L82" i="67"/>
  <c r="B82" i="67"/>
  <c r="T81" i="67"/>
  <c r="P81" i="67"/>
  <c r="X81" i="67" s="1"/>
  <c r="Z81" i="67" s="1"/>
  <c r="L81" i="67"/>
  <c r="H81" i="67"/>
  <c r="D81" i="67"/>
  <c r="B81" i="67"/>
  <c r="Z80" i="67"/>
  <c r="X80" i="67"/>
  <c r="L80" i="67"/>
  <c r="N80" i="67" s="1"/>
  <c r="B80" i="67"/>
  <c r="X79" i="67"/>
  <c r="T79" i="67"/>
  <c r="P79" i="67"/>
  <c r="H79" i="67"/>
  <c r="D79" i="67"/>
  <c r="B79" i="67"/>
  <c r="Z78" i="67"/>
  <c r="X78" i="67"/>
  <c r="N78" i="67"/>
  <c r="L78" i="67"/>
  <c r="B78" i="67"/>
  <c r="T77" i="67"/>
  <c r="Z77" i="67" s="1"/>
  <c r="P77" i="67"/>
  <c r="X77" i="67" s="1"/>
  <c r="N77" i="67"/>
  <c r="H77" i="67"/>
  <c r="D77" i="67"/>
  <c r="L77" i="67" s="1"/>
  <c r="B77" i="67"/>
  <c r="Z76" i="67"/>
  <c r="X76" i="67"/>
  <c r="N76" i="67"/>
  <c r="L76" i="67"/>
  <c r="J76" i="67"/>
  <c r="B76" i="67"/>
  <c r="Z75" i="67"/>
  <c r="X75" i="67"/>
  <c r="L75" i="67"/>
  <c r="N75" i="67" s="1"/>
  <c r="B75" i="67"/>
  <c r="T74" i="67"/>
  <c r="Z74" i="67" s="1"/>
  <c r="P74" i="67"/>
  <c r="X74" i="67" s="1"/>
  <c r="L74" i="67"/>
  <c r="N74" i="67" s="1"/>
  <c r="H74" i="67"/>
  <c r="D74" i="67"/>
  <c r="B74" i="67"/>
  <c r="X73" i="67"/>
  <c r="Z73" i="67" s="1"/>
  <c r="L73" i="67"/>
  <c r="N73" i="67" s="1"/>
  <c r="B73" i="67"/>
  <c r="X72" i="67"/>
  <c r="Z72" i="67" s="1"/>
  <c r="T72" i="67"/>
  <c r="P72" i="67"/>
  <c r="H72" i="67"/>
  <c r="L72" i="67" s="1"/>
  <c r="D72" i="67"/>
  <c r="B72" i="67"/>
  <c r="Z71" i="67"/>
  <c r="X71" i="67"/>
  <c r="N71" i="67"/>
  <c r="L71" i="67"/>
  <c r="B71" i="67"/>
  <c r="T70" i="67"/>
  <c r="P70" i="67"/>
  <c r="N70" i="67"/>
  <c r="J70" i="67"/>
  <c r="H70" i="67"/>
  <c r="D70" i="67"/>
  <c r="L70" i="67" s="1"/>
  <c r="B70" i="67"/>
  <c r="Z69" i="67"/>
  <c r="X69" i="67"/>
  <c r="N69" i="67"/>
  <c r="L69" i="67"/>
  <c r="J69" i="67"/>
  <c r="B69" i="67"/>
  <c r="Z68" i="67"/>
  <c r="T68" i="67"/>
  <c r="P68" i="67"/>
  <c r="X68" i="67" s="1"/>
  <c r="H68" i="67"/>
  <c r="N68" i="67" s="1"/>
  <c r="D68" i="67"/>
  <c r="L68" i="67" s="1"/>
  <c r="B68" i="67"/>
  <c r="Z67" i="67"/>
  <c r="X67" i="67"/>
  <c r="N67" i="67"/>
  <c r="L67" i="67"/>
  <c r="B67" i="67"/>
  <c r="T66" i="67"/>
  <c r="Z66" i="67" s="1"/>
  <c r="P66" i="67"/>
  <c r="X66" i="67" s="1"/>
  <c r="N66" i="67"/>
  <c r="L66" i="67"/>
  <c r="H66" i="67"/>
  <c r="D66" i="67"/>
  <c r="B66" i="67"/>
  <c r="X65" i="67"/>
  <c r="Z65" i="67" s="1"/>
  <c r="L65" i="67"/>
  <c r="N65" i="67" s="1"/>
  <c r="B65" i="67"/>
  <c r="X64" i="67"/>
  <c r="Z64" i="67" s="1"/>
  <c r="T64" i="67"/>
  <c r="P64" i="67"/>
  <c r="H64" i="67"/>
  <c r="L64" i="67" s="1"/>
  <c r="D64" i="67"/>
  <c r="B64" i="67"/>
  <c r="Z63" i="67"/>
  <c r="X63" i="67"/>
  <c r="N63" i="67"/>
  <c r="L63" i="67"/>
  <c r="B63" i="67"/>
  <c r="Z62" i="67"/>
  <c r="X62" i="67"/>
  <c r="N62" i="67"/>
  <c r="L62" i="67"/>
  <c r="B62" i="67"/>
  <c r="X61" i="67"/>
  <c r="Z61" i="67" s="1"/>
  <c r="N61" i="67"/>
  <c r="L61" i="67"/>
  <c r="B61" i="67"/>
  <c r="X60" i="67"/>
  <c r="Z60" i="67" s="1"/>
  <c r="N60" i="67"/>
  <c r="L60" i="67"/>
  <c r="J60" i="67"/>
  <c r="B60" i="67"/>
  <c r="Z59" i="67"/>
  <c r="X59" i="67"/>
  <c r="N59" i="67"/>
  <c r="L59" i="67"/>
  <c r="B59" i="67"/>
  <c r="Z58" i="67"/>
  <c r="X58" i="67"/>
  <c r="N58" i="67"/>
  <c r="L58" i="67"/>
  <c r="B58" i="67"/>
  <c r="X57" i="67"/>
  <c r="Z57" i="67" s="1"/>
  <c r="L57" i="67"/>
  <c r="N57" i="67" s="1"/>
  <c r="J57" i="67"/>
  <c r="B57" i="67"/>
  <c r="Z56" i="67"/>
  <c r="X56" i="67"/>
  <c r="N56" i="67"/>
  <c r="L56" i="67"/>
  <c r="B56" i="67"/>
  <c r="X55" i="67"/>
  <c r="Z55" i="67" s="1"/>
  <c r="N55" i="67"/>
  <c r="L55" i="67"/>
  <c r="B55" i="67"/>
  <c r="Z54" i="67"/>
  <c r="X54" i="67"/>
  <c r="N54" i="67"/>
  <c r="L54" i="67"/>
  <c r="J54" i="67"/>
  <c r="B54" i="67"/>
  <c r="T53" i="67"/>
  <c r="P53" i="67"/>
  <c r="X53" i="67" s="1"/>
  <c r="Z53" i="67" s="1"/>
  <c r="L53" i="67"/>
  <c r="H53" i="67"/>
  <c r="N53" i="67" s="1"/>
  <c r="D53" i="67"/>
  <c r="B53" i="67"/>
  <c r="Z52" i="67"/>
  <c r="X52" i="67"/>
  <c r="V52" i="67"/>
  <c r="L52" i="67"/>
  <c r="N52" i="67" s="1"/>
  <c r="B52" i="67"/>
  <c r="X51" i="67"/>
  <c r="Z51" i="67" s="1"/>
  <c r="N51" i="67"/>
  <c r="L51" i="67"/>
  <c r="B51" i="67"/>
  <c r="Z50" i="67"/>
  <c r="X50" i="67"/>
  <c r="N50" i="67"/>
  <c r="L50" i="67"/>
  <c r="J50" i="67"/>
  <c r="B50" i="67"/>
  <c r="Z49" i="67"/>
  <c r="X49" i="67"/>
  <c r="V49" i="67"/>
  <c r="N49" i="67"/>
  <c r="L49" i="67"/>
  <c r="B49" i="67"/>
  <c r="X48" i="67"/>
  <c r="Z48" i="67" s="1"/>
  <c r="N48" i="67"/>
  <c r="L48" i="67"/>
  <c r="J48" i="67"/>
  <c r="B48" i="67"/>
  <c r="Z47" i="67"/>
  <c r="X47" i="67"/>
  <c r="L47" i="67"/>
  <c r="N47" i="67" s="1"/>
  <c r="B47" i="67"/>
  <c r="Z46" i="67"/>
  <c r="X46" i="67"/>
  <c r="N46" i="67"/>
  <c r="L46" i="67"/>
  <c r="J46" i="67"/>
  <c r="B46" i="67"/>
  <c r="X45" i="67"/>
  <c r="Z45" i="67" s="1"/>
  <c r="L45" i="67"/>
  <c r="N45" i="67" s="1"/>
  <c r="J45" i="67"/>
  <c r="B45" i="67"/>
  <c r="Z44" i="67"/>
  <c r="X44" i="67"/>
  <c r="L44" i="67"/>
  <c r="N44" i="67" s="1"/>
  <c r="B44" i="67"/>
  <c r="X43" i="67"/>
  <c r="T43" i="67"/>
  <c r="Z43" i="67" s="1"/>
  <c r="P43" i="67"/>
  <c r="H43" i="67"/>
  <c r="D43" i="67"/>
  <c r="B43" i="67"/>
  <c r="T42" i="67"/>
  <c r="P42" i="67"/>
  <c r="X42" i="67" s="1"/>
  <c r="L42" i="67"/>
  <c r="N42" i="67" s="1"/>
  <c r="H42" i="67"/>
  <c r="D42" i="67"/>
  <c r="Z38" i="67"/>
  <c r="X38" i="67"/>
  <c r="N38" i="67"/>
  <c r="L38" i="67"/>
  <c r="J38" i="67"/>
  <c r="B38" i="67"/>
  <c r="Z37" i="67"/>
  <c r="X37" i="67"/>
  <c r="N37" i="67"/>
  <c r="L37" i="67"/>
  <c r="J37" i="67"/>
  <c r="B37" i="67"/>
  <c r="Z36" i="67"/>
  <c r="X36" i="67"/>
  <c r="V36" i="67"/>
  <c r="N36" i="67"/>
  <c r="L36" i="67"/>
  <c r="B36" i="67"/>
  <c r="Z35" i="67"/>
  <c r="X35" i="67"/>
  <c r="N35" i="67"/>
  <c r="L35" i="67"/>
  <c r="B35" i="67"/>
  <c r="Z34" i="67"/>
  <c r="X34" i="67"/>
  <c r="N34" i="67"/>
  <c r="L34" i="67"/>
  <c r="J34" i="67"/>
  <c r="B34" i="67"/>
  <c r="Z33" i="67"/>
  <c r="X33" i="67"/>
  <c r="N33" i="67"/>
  <c r="L33" i="67"/>
  <c r="J33" i="67"/>
  <c r="B33" i="67"/>
  <c r="Z32" i="67"/>
  <c r="X32" i="67"/>
  <c r="N32" i="67"/>
  <c r="L32" i="67"/>
  <c r="J32" i="67"/>
  <c r="B32" i="67"/>
  <c r="Z31" i="67"/>
  <c r="X31" i="67"/>
  <c r="N31" i="67"/>
  <c r="L31" i="67"/>
  <c r="J31" i="67"/>
  <c r="B31" i="67"/>
  <c r="Z30" i="67"/>
  <c r="X30" i="67"/>
  <c r="N30" i="67"/>
  <c r="L30" i="67"/>
  <c r="J30" i="67"/>
  <c r="B30" i="67"/>
  <c r="Z29" i="67"/>
  <c r="X29" i="67"/>
  <c r="N29" i="67"/>
  <c r="L29" i="67"/>
  <c r="J29" i="67"/>
  <c r="B29" i="67"/>
  <c r="Z28" i="67"/>
  <c r="X28" i="67"/>
  <c r="N28" i="67"/>
  <c r="L28" i="67"/>
  <c r="B28" i="67"/>
  <c r="Z27" i="67"/>
  <c r="X27" i="67"/>
  <c r="N27" i="67"/>
  <c r="L27" i="67"/>
  <c r="B27" i="67"/>
  <c r="Z26" i="67"/>
  <c r="X26" i="67"/>
  <c r="N26" i="67"/>
  <c r="L26" i="67"/>
  <c r="J26" i="67"/>
  <c r="B26" i="67"/>
  <c r="Z25" i="67"/>
  <c r="X25" i="67"/>
  <c r="N25" i="67"/>
  <c r="L25" i="67"/>
  <c r="J25" i="67"/>
  <c r="B25" i="67"/>
  <c r="Z24" i="67"/>
  <c r="X24" i="67"/>
  <c r="N24" i="67"/>
  <c r="L24" i="67"/>
  <c r="J24" i="67"/>
  <c r="B24" i="67"/>
  <c r="Z23" i="67"/>
  <c r="X23" i="67"/>
  <c r="N23" i="67"/>
  <c r="L23" i="67"/>
  <c r="J23" i="67"/>
  <c r="B23" i="67"/>
  <c r="Z22" i="67"/>
  <c r="X22" i="67"/>
  <c r="N22" i="67"/>
  <c r="L22" i="67"/>
  <c r="J22" i="67"/>
  <c r="B22" i="67"/>
  <c r="Z21" i="67"/>
  <c r="X21" i="67"/>
  <c r="N21" i="67"/>
  <c r="L21" i="67"/>
  <c r="J21" i="67"/>
  <c r="B21" i="67"/>
  <c r="X20" i="67"/>
  <c r="Z20" i="67" s="1"/>
  <c r="L20" i="67"/>
  <c r="N20" i="67" s="1"/>
  <c r="B20" i="67"/>
  <c r="X19" i="67"/>
  <c r="Z19" i="67" s="1"/>
  <c r="T19" i="67"/>
  <c r="P19" i="67"/>
  <c r="H19" i="67"/>
  <c r="D19" i="67"/>
  <c r="L19" i="67" s="1"/>
  <c r="Z17" i="67"/>
  <c r="P17" i="67"/>
  <c r="X17" i="67" s="1"/>
  <c r="N17" i="67"/>
  <c r="L17" i="67"/>
  <c r="D17" i="67"/>
  <c r="B17" i="67"/>
  <c r="Z16" i="67"/>
  <c r="X16" i="67"/>
  <c r="P16" i="67"/>
  <c r="N16" i="67"/>
  <c r="D16" i="67"/>
  <c r="L16" i="67" s="1"/>
  <c r="B16" i="67"/>
  <c r="Z15" i="67"/>
  <c r="P15" i="67"/>
  <c r="X15" i="67" s="1"/>
  <c r="N15" i="67"/>
  <c r="D15" i="67"/>
  <c r="L15" i="67" s="1"/>
  <c r="B15" i="67"/>
  <c r="Z14" i="67"/>
  <c r="P14" i="67"/>
  <c r="X14" i="67" s="1"/>
  <c r="N14" i="67"/>
  <c r="D14" i="67"/>
  <c r="L14" i="67" s="1"/>
  <c r="B14" i="67"/>
  <c r="X13" i="67"/>
  <c r="Z13" i="67" s="1"/>
  <c r="P13" i="67"/>
  <c r="L13" i="67"/>
  <c r="N13" i="67" s="1"/>
  <c r="D13" i="67"/>
  <c r="B13" i="67"/>
  <c r="T12" i="67"/>
  <c r="H12" i="67"/>
  <c r="J100" i="67" s="1"/>
  <c r="D6" i="67"/>
  <c r="D4" i="67"/>
  <c r="X89" i="65"/>
  <c r="Z89" i="65" s="1"/>
  <c r="N89" i="65"/>
  <c r="L89" i="65"/>
  <c r="Z85" i="65"/>
  <c r="P85" i="65"/>
  <c r="X85" i="65" s="1"/>
  <c r="N85" i="65"/>
  <c r="L85" i="65"/>
  <c r="D85" i="65"/>
  <c r="B85" i="65"/>
  <c r="Z84" i="65"/>
  <c r="P84" i="65"/>
  <c r="X84" i="65" s="1"/>
  <c r="N84" i="65"/>
  <c r="D84" i="65"/>
  <c r="L84" i="65" s="1"/>
  <c r="B84" i="65"/>
  <c r="X83" i="65"/>
  <c r="Z83" i="65" s="1"/>
  <c r="P83" i="65"/>
  <c r="N83" i="65"/>
  <c r="L83" i="65"/>
  <c r="J83" i="65"/>
  <c r="D83" i="65"/>
  <c r="B83" i="65"/>
  <c r="P82" i="65"/>
  <c r="L82" i="65"/>
  <c r="N82" i="65" s="1"/>
  <c r="J82" i="65"/>
  <c r="D82" i="65"/>
  <c r="B82" i="65"/>
  <c r="T81" i="65"/>
  <c r="H81" i="65"/>
  <c r="Z79" i="65"/>
  <c r="X79" i="65"/>
  <c r="N79" i="65"/>
  <c r="L79" i="65"/>
  <c r="B79" i="65"/>
  <c r="Z78" i="65"/>
  <c r="X78" i="65"/>
  <c r="N78" i="65"/>
  <c r="L78" i="65"/>
  <c r="B78" i="65"/>
  <c r="T77" i="65"/>
  <c r="P77" i="65"/>
  <c r="H77" i="65"/>
  <c r="N77" i="65" s="1"/>
  <c r="D77" i="65"/>
  <c r="L77" i="65" s="1"/>
  <c r="B77" i="65"/>
  <c r="Z76" i="65"/>
  <c r="X76" i="65"/>
  <c r="L76" i="65"/>
  <c r="N76" i="65" s="1"/>
  <c r="B76" i="65"/>
  <c r="Z75" i="65"/>
  <c r="X75" i="65"/>
  <c r="L75" i="65"/>
  <c r="N75" i="65" s="1"/>
  <c r="B75" i="65"/>
  <c r="Z74" i="65"/>
  <c r="T74" i="65"/>
  <c r="P74" i="65"/>
  <c r="X74" i="65" s="1"/>
  <c r="H74" i="65"/>
  <c r="D74" i="65"/>
  <c r="B74" i="65"/>
  <c r="Z73" i="65"/>
  <c r="X73" i="65"/>
  <c r="N73" i="65"/>
  <c r="L73" i="65"/>
  <c r="B73" i="65"/>
  <c r="T72" i="65"/>
  <c r="P72" i="65"/>
  <c r="H72" i="65"/>
  <c r="N72" i="65" s="1"/>
  <c r="D72" i="65"/>
  <c r="L72" i="65" s="1"/>
  <c r="B72" i="65"/>
  <c r="Z71" i="65"/>
  <c r="X71" i="65"/>
  <c r="L71" i="65"/>
  <c r="N71" i="65" s="1"/>
  <c r="J71" i="65"/>
  <c r="B71" i="65"/>
  <c r="X70" i="65"/>
  <c r="Z70" i="65" s="1"/>
  <c r="L70" i="65"/>
  <c r="N70" i="65" s="1"/>
  <c r="B70" i="65"/>
  <c r="Z69" i="65"/>
  <c r="X69" i="65"/>
  <c r="N69" i="65"/>
  <c r="L69" i="65"/>
  <c r="B69" i="65"/>
  <c r="T68" i="65"/>
  <c r="P68" i="65"/>
  <c r="H68" i="65"/>
  <c r="N68" i="65" s="1"/>
  <c r="D68" i="65"/>
  <c r="L68" i="65" s="1"/>
  <c r="B68" i="65"/>
  <c r="Z67" i="65"/>
  <c r="X67" i="65"/>
  <c r="L67" i="65"/>
  <c r="N67" i="65" s="1"/>
  <c r="J67" i="65"/>
  <c r="B67" i="65"/>
  <c r="T66" i="65"/>
  <c r="Z66" i="65" s="1"/>
  <c r="P66" i="65"/>
  <c r="X66" i="65" s="1"/>
  <c r="H66" i="65"/>
  <c r="N66" i="65" s="1"/>
  <c r="D66" i="65"/>
  <c r="L66" i="65" s="1"/>
  <c r="B66" i="65"/>
  <c r="Z65" i="65"/>
  <c r="X65" i="65"/>
  <c r="N65" i="65"/>
  <c r="L65" i="65"/>
  <c r="J65" i="65"/>
  <c r="B65" i="65"/>
  <c r="T64" i="65"/>
  <c r="Z64" i="65" s="1"/>
  <c r="P64" i="65"/>
  <c r="X64" i="65" s="1"/>
  <c r="N64" i="65"/>
  <c r="L64" i="65"/>
  <c r="H64" i="65"/>
  <c r="D64" i="65"/>
  <c r="B64" i="65"/>
  <c r="X63" i="65"/>
  <c r="Z63" i="65" s="1"/>
  <c r="N63" i="65"/>
  <c r="L63" i="65"/>
  <c r="J63" i="65"/>
  <c r="B63" i="65"/>
  <c r="X62" i="65"/>
  <c r="Z62" i="65" s="1"/>
  <c r="T62" i="65"/>
  <c r="P62" i="65"/>
  <c r="H62" i="65"/>
  <c r="D62" i="65"/>
  <c r="B62" i="65"/>
  <c r="Z61" i="65"/>
  <c r="X61" i="65"/>
  <c r="N61" i="65"/>
  <c r="L61" i="65"/>
  <c r="J61" i="65"/>
  <c r="B61" i="65"/>
  <c r="T60" i="65"/>
  <c r="P60" i="65"/>
  <c r="H60" i="65"/>
  <c r="D60" i="65"/>
  <c r="L60" i="65" s="1"/>
  <c r="B60" i="65"/>
  <c r="Z59" i="65"/>
  <c r="X59" i="65"/>
  <c r="L59" i="65"/>
  <c r="N59" i="65" s="1"/>
  <c r="J59" i="65"/>
  <c r="B59" i="65"/>
  <c r="T58" i="65"/>
  <c r="P58" i="65"/>
  <c r="X58" i="65" s="1"/>
  <c r="H58" i="65"/>
  <c r="N58" i="65" s="1"/>
  <c r="D58" i="65"/>
  <c r="L58" i="65" s="1"/>
  <c r="B58" i="65"/>
  <c r="Z57" i="65"/>
  <c r="X57" i="65"/>
  <c r="N57" i="65"/>
  <c r="L57" i="65"/>
  <c r="J57" i="65"/>
  <c r="B57" i="65"/>
  <c r="T56" i="65"/>
  <c r="P56" i="65"/>
  <c r="X56" i="65" s="1"/>
  <c r="L56" i="65"/>
  <c r="N56" i="65" s="1"/>
  <c r="H56" i="65"/>
  <c r="D56" i="65"/>
  <c r="B56" i="65"/>
  <c r="Z55" i="65"/>
  <c r="X55" i="65"/>
  <c r="N55" i="65"/>
  <c r="L55" i="65"/>
  <c r="J55" i="65"/>
  <c r="B55" i="65"/>
  <c r="Z54" i="65"/>
  <c r="X54" i="65"/>
  <c r="N54" i="65"/>
  <c r="L54" i="65"/>
  <c r="B54" i="65"/>
  <c r="Z53" i="65"/>
  <c r="X53" i="65"/>
  <c r="N53" i="65"/>
  <c r="L53" i="65"/>
  <c r="J53" i="65"/>
  <c r="B53" i="65"/>
  <c r="X52" i="65"/>
  <c r="Z52" i="65" s="1"/>
  <c r="N52" i="65"/>
  <c r="L52" i="65"/>
  <c r="J52" i="65"/>
  <c r="B52" i="65"/>
  <c r="Z51" i="65"/>
  <c r="X51" i="65"/>
  <c r="N51" i="65"/>
  <c r="L51" i="65"/>
  <c r="J51" i="65"/>
  <c r="B51" i="65"/>
  <c r="X50" i="65"/>
  <c r="Z50" i="65" s="1"/>
  <c r="N50" i="65"/>
  <c r="L50" i="65"/>
  <c r="B50" i="65"/>
  <c r="Z49" i="65"/>
  <c r="X49" i="65"/>
  <c r="N49" i="65"/>
  <c r="L49" i="65"/>
  <c r="J49" i="65"/>
  <c r="B49" i="65"/>
  <c r="Z48" i="65"/>
  <c r="X48" i="65"/>
  <c r="N48" i="65"/>
  <c r="L48" i="65"/>
  <c r="B48" i="65"/>
  <c r="X47" i="65"/>
  <c r="Z47" i="65" s="1"/>
  <c r="N47" i="65"/>
  <c r="L47" i="65"/>
  <c r="J47" i="65"/>
  <c r="B47" i="65"/>
  <c r="Z46" i="65"/>
  <c r="X46" i="65"/>
  <c r="N46" i="65"/>
  <c r="L46" i="65"/>
  <c r="B46" i="65"/>
  <c r="T45" i="65"/>
  <c r="P45" i="65"/>
  <c r="X45" i="65" s="1"/>
  <c r="Z45" i="65" s="1"/>
  <c r="L45" i="65"/>
  <c r="N45" i="65" s="1"/>
  <c r="J45" i="65"/>
  <c r="H45" i="65"/>
  <c r="D45" i="65"/>
  <c r="B45" i="65"/>
  <c r="X44" i="65"/>
  <c r="Z44" i="65" s="1"/>
  <c r="L44" i="65"/>
  <c r="N44" i="65" s="1"/>
  <c r="B44" i="65"/>
  <c r="X43" i="65"/>
  <c r="Z43" i="65" s="1"/>
  <c r="N43" i="65"/>
  <c r="L43" i="65"/>
  <c r="J43" i="65"/>
  <c r="B43" i="65"/>
  <c r="X42" i="65"/>
  <c r="Z42" i="65" s="1"/>
  <c r="L42" i="65"/>
  <c r="N42" i="65" s="1"/>
  <c r="B42" i="65"/>
  <c r="Z41" i="65"/>
  <c r="X41" i="65"/>
  <c r="N41" i="65"/>
  <c r="L41" i="65"/>
  <c r="J41" i="65"/>
  <c r="B41" i="65"/>
  <c r="Z40" i="65"/>
  <c r="X40" i="65"/>
  <c r="N40" i="65"/>
  <c r="L40" i="65"/>
  <c r="J40" i="65"/>
  <c r="B40" i="65"/>
  <c r="Z39" i="65"/>
  <c r="X39" i="65"/>
  <c r="L39" i="65"/>
  <c r="N39" i="65" s="1"/>
  <c r="J39" i="65"/>
  <c r="B39" i="65"/>
  <c r="X38" i="65"/>
  <c r="Z38" i="65" s="1"/>
  <c r="N38" i="65"/>
  <c r="L38" i="65"/>
  <c r="B38" i="65"/>
  <c r="Z37" i="65"/>
  <c r="X37" i="65"/>
  <c r="N37" i="65"/>
  <c r="L37" i="65"/>
  <c r="J37" i="65"/>
  <c r="B37" i="65"/>
  <c r="X36" i="65"/>
  <c r="Z36" i="65" s="1"/>
  <c r="V36" i="65"/>
  <c r="L36" i="65"/>
  <c r="N36" i="65" s="1"/>
  <c r="B36" i="65"/>
  <c r="X35" i="65"/>
  <c r="Z35" i="65" s="1"/>
  <c r="N35" i="65"/>
  <c r="L35" i="65"/>
  <c r="J35" i="65"/>
  <c r="B35" i="65"/>
  <c r="Z34" i="65"/>
  <c r="X34" i="65"/>
  <c r="T34" i="65"/>
  <c r="P34" i="65"/>
  <c r="J34" i="65"/>
  <c r="H34" i="65"/>
  <c r="D34" i="65"/>
  <c r="B34" i="65"/>
  <c r="T33" i="65"/>
  <c r="P33" i="65"/>
  <c r="J33" i="65"/>
  <c r="H33" i="65"/>
  <c r="D33" i="65"/>
  <c r="L33" i="65" s="1"/>
  <c r="N33" i="65" s="1"/>
  <c r="Z29" i="65"/>
  <c r="X29" i="65"/>
  <c r="N29" i="65"/>
  <c r="L29" i="65"/>
  <c r="J29" i="65"/>
  <c r="B29" i="65"/>
  <c r="Z28" i="65"/>
  <c r="X28" i="65"/>
  <c r="V28" i="65"/>
  <c r="N28" i="65"/>
  <c r="L28" i="65"/>
  <c r="B28" i="65"/>
  <c r="Z27" i="65"/>
  <c r="X27" i="65"/>
  <c r="N27" i="65"/>
  <c r="L27" i="65"/>
  <c r="J27" i="65"/>
  <c r="B27" i="65"/>
  <c r="Z26" i="65"/>
  <c r="X26" i="65"/>
  <c r="N26" i="65"/>
  <c r="L26" i="65"/>
  <c r="J26" i="65"/>
  <c r="B26" i="65"/>
  <c r="Z25" i="65"/>
  <c r="X25" i="65"/>
  <c r="N25" i="65"/>
  <c r="L25" i="65"/>
  <c r="J25" i="65"/>
  <c r="B25" i="65"/>
  <c r="Z24" i="65"/>
  <c r="X24" i="65"/>
  <c r="N24" i="65"/>
  <c r="L24" i="65"/>
  <c r="J24" i="65"/>
  <c r="B24" i="65"/>
  <c r="Z23" i="65"/>
  <c r="X23" i="65"/>
  <c r="N23" i="65"/>
  <c r="L23" i="65"/>
  <c r="J23" i="65"/>
  <c r="B23" i="65"/>
  <c r="Z22" i="65"/>
  <c r="X22" i="65"/>
  <c r="N22" i="65"/>
  <c r="L22" i="65"/>
  <c r="B22" i="65"/>
  <c r="Z21" i="65"/>
  <c r="X21" i="65"/>
  <c r="N21" i="65"/>
  <c r="L21" i="65"/>
  <c r="J21" i="65"/>
  <c r="B21" i="65"/>
  <c r="X20" i="65"/>
  <c r="Z20" i="65" s="1"/>
  <c r="L20" i="65"/>
  <c r="N20" i="65" s="1"/>
  <c r="B20" i="65"/>
  <c r="X19" i="65"/>
  <c r="Z19" i="65" s="1"/>
  <c r="V19" i="65"/>
  <c r="T19" i="65"/>
  <c r="P19" i="65"/>
  <c r="H19" i="65"/>
  <c r="D19" i="65"/>
  <c r="Z17" i="65"/>
  <c r="P17" i="65"/>
  <c r="X17" i="65" s="1"/>
  <c r="N17" i="65"/>
  <c r="D17" i="65"/>
  <c r="L17" i="65" s="1"/>
  <c r="B17" i="65"/>
  <c r="Z16" i="65"/>
  <c r="X16" i="65"/>
  <c r="P16" i="65"/>
  <c r="N16" i="65"/>
  <c r="D16" i="65"/>
  <c r="B16" i="65"/>
  <c r="Z15" i="65"/>
  <c r="P15" i="65"/>
  <c r="X15" i="65" s="1"/>
  <c r="N15" i="65"/>
  <c r="L15" i="65"/>
  <c r="D15" i="65"/>
  <c r="B15" i="65"/>
  <c r="Z14" i="65"/>
  <c r="X14" i="65"/>
  <c r="P14" i="65"/>
  <c r="N14" i="65"/>
  <c r="D14" i="65"/>
  <c r="L14" i="65" s="1"/>
  <c r="B14" i="65"/>
  <c r="P13" i="65"/>
  <c r="P12" i="65" s="1"/>
  <c r="L13" i="65"/>
  <c r="N13" i="65" s="1"/>
  <c r="D13" i="65"/>
  <c r="B13" i="65"/>
  <c r="T12" i="65"/>
  <c r="V20" i="65" s="1"/>
  <c r="H12" i="65"/>
  <c r="D6" i="65"/>
  <c r="D4" i="65"/>
  <c r="J38" i="64"/>
  <c r="R35" i="64"/>
  <c r="F35" i="64"/>
  <c r="Z33" i="64"/>
  <c r="X33" i="64"/>
  <c r="N33" i="64"/>
  <c r="L33" i="64"/>
  <c r="F33" i="64"/>
  <c r="J31" i="64"/>
  <c r="T29" i="64"/>
  <c r="Z29" i="64" s="1"/>
  <c r="R29" i="64"/>
  <c r="P29" i="64"/>
  <c r="X29" i="64" s="1"/>
  <c r="H29" i="64"/>
  <c r="N29" i="64" s="1"/>
  <c r="F29" i="64"/>
  <c r="D29" i="64"/>
  <c r="L29" i="64" s="1"/>
  <c r="Z27" i="64"/>
  <c r="X27" i="64"/>
  <c r="N27" i="64"/>
  <c r="L27" i="64"/>
  <c r="F27" i="64"/>
  <c r="B27" i="64"/>
  <c r="Z26" i="64"/>
  <c r="T26" i="64"/>
  <c r="P26" i="64"/>
  <c r="X26" i="64" s="1"/>
  <c r="N26" i="64"/>
  <c r="L26" i="64"/>
  <c r="J26" i="64"/>
  <c r="H26" i="64"/>
  <c r="F26" i="64"/>
  <c r="D26" i="64"/>
  <c r="B26" i="64"/>
  <c r="Z25" i="64"/>
  <c r="X25" i="64"/>
  <c r="V25" i="64"/>
  <c r="R25" i="64"/>
  <c r="N25" i="64"/>
  <c r="L25" i="64"/>
  <c r="F25" i="64"/>
  <c r="B25" i="64"/>
  <c r="Z24" i="64"/>
  <c r="X24" i="64"/>
  <c r="V24" i="64"/>
  <c r="N24" i="64"/>
  <c r="L24" i="64"/>
  <c r="J24" i="64"/>
  <c r="F24" i="64"/>
  <c r="B24" i="64"/>
  <c r="Z23" i="64"/>
  <c r="X23" i="64"/>
  <c r="T23" i="64"/>
  <c r="P23" i="64"/>
  <c r="J23" i="64"/>
  <c r="H23" i="64"/>
  <c r="D23" i="64"/>
  <c r="B23" i="64"/>
  <c r="Z22" i="64"/>
  <c r="X22" i="64"/>
  <c r="R22" i="64"/>
  <c r="N22" i="64"/>
  <c r="L22" i="64"/>
  <c r="B22" i="64"/>
  <c r="V21" i="64"/>
  <c r="T21" i="64"/>
  <c r="P21" i="64"/>
  <c r="H21" i="64"/>
  <c r="N21" i="64" s="1"/>
  <c r="F21" i="64"/>
  <c r="D21" i="64"/>
  <c r="L21" i="64" s="1"/>
  <c r="B21" i="64"/>
  <c r="Z20" i="64"/>
  <c r="X20" i="64"/>
  <c r="L20" i="64"/>
  <c r="N20" i="64" s="1"/>
  <c r="J20" i="64"/>
  <c r="B20" i="64"/>
  <c r="T19" i="64"/>
  <c r="R19" i="64"/>
  <c r="P19" i="64"/>
  <c r="X19" i="64" s="1"/>
  <c r="H19" i="64"/>
  <c r="F19" i="64"/>
  <c r="D19" i="64"/>
  <c r="L19" i="64" s="1"/>
  <c r="B19" i="64"/>
  <c r="T18" i="64"/>
  <c r="P18" i="64"/>
  <c r="X18" i="64" s="1"/>
  <c r="Z18" i="64" s="1"/>
  <c r="L18" i="64"/>
  <c r="N18" i="64" s="1"/>
  <c r="J18" i="64"/>
  <c r="H18" i="64"/>
  <c r="F18" i="64"/>
  <c r="D18" i="64"/>
  <c r="T16" i="64"/>
  <c r="R16" i="64"/>
  <c r="J16" i="64"/>
  <c r="F16" i="64"/>
  <c r="D16" i="64"/>
  <c r="Z14" i="64"/>
  <c r="T14" i="64"/>
  <c r="P14" i="64"/>
  <c r="X14" i="64" s="1"/>
  <c r="N14" i="64"/>
  <c r="L14" i="64"/>
  <c r="J14" i="64"/>
  <c r="H14" i="64"/>
  <c r="F14" i="64"/>
  <c r="D14" i="64"/>
  <c r="T12" i="64"/>
  <c r="V38" i="64" s="1"/>
  <c r="P12" i="64"/>
  <c r="N12" i="64"/>
  <c r="H12" i="64"/>
  <c r="J22" i="64" s="1"/>
  <c r="D12" i="64"/>
  <c r="F38" i="64" s="1"/>
  <c r="D6" i="64"/>
  <c r="D4" i="64"/>
  <c r="X86" i="63"/>
  <c r="Z86" i="63" s="1"/>
  <c r="V86" i="63"/>
  <c r="N86" i="63"/>
  <c r="L86" i="63"/>
  <c r="Z82" i="63"/>
  <c r="T82" i="63"/>
  <c r="P82" i="63"/>
  <c r="X82" i="63" s="1"/>
  <c r="N82" i="63"/>
  <c r="H82" i="63"/>
  <c r="D82" i="63"/>
  <c r="L82" i="63" s="1"/>
  <c r="X80" i="63"/>
  <c r="Z80" i="63" s="1"/>
  <c r="V80" i="63"/>
  <c r="N80" i="63"/>
  <c r="L80" i="63"/>
  <c r="B80" i="63"/>
  <c r="Z79" i="63"/>
  <c r="X79" i="63"/>
  <c r="T79" i="63"/>
  <c r="P79" i="63"/>
  <c r="J79" i="63"/>
  <c r="H79" i="63"/>
  <c r="D79" i="63"/>
  <c r="B79" i="63"/>
  <c r="Z78" i="63"/>
  <c r="X78" i="63"/>
  <c r="N78" i="63"/>
  <c r="L78" i="63"/>
  <c r="B78" i="63"/>
  <c r="X77" i="63"/>
  <c r="Z77" i="63" s="1"/>
  <c r="V77" i="63"/>
  <c r="L77" i="63"/>
  <c r="N77" i="63" s="1"/>
  <c r="B77" i="63"/>
  <c r="X76" i="63"/>
  <c r="Z76" i="63" s="1"/>
  <c r="V76" i="63"/>
  <c r="N76" i="63"/>
  <c r="L76" i="63"/>
  <c r="B76" i="63"/>
  <c r="Z75" i="63"/>
  <c r="X75" i="63"/>
  <c r="N75" i="63"/>
  <c r="L75" i="63"/>
  <c r="B75" i="63"/>
  <c r="Z74" i="63"/>
  <c r="T74" i="63"/>
  <c r="P74" i="63"/>
  <c r="X74" i="63" s="1"/>
  <c r="L74" i="63"/>
  <c r="N74" i="63" s="1"/>
  <c r="J74" i="63"/>
  <c r="H74" i="63"/>
  <c r="D74" i="63"/>
  <c r="B74" i="63"/>
  <c r="Z73" i="63"/>
  <c r="X73" i="63"/>
  <c r="V73" i="63"/>
  <c r="N73" i="63"/>
  <c r="L73" i="63"/>
  <c r="B73" i="63"/>
  <c r="Z72" i="63"/>
  <c r="X72" i="63"/>
  <c r="V72" i="63"/>
  <c r="N72" i="63"/>
  <c r="L72" i="63"/>
  <c r="B72" i="63"/>
  <c r="Z71" i="63"/>
  <c r="X71" i="63"/>
  <c r="T71" i="63"/>
  <c r="P71" i="63"/>
  <c r="J71" i="63"/>
  <c r="H71" i="63"/>
  <c r="D71" i="63"/>
  <c r="B71" i="63"/>
  <c r="Z70" i="63"/>
  <c r="X70" i="63"/>
  <c r="N70" i="63"/>
  <c r="L70" i="63"/>
  <c r="B70" i="63"/>
  <c r="Z69" i="63"/>
  <c r="X69" i="63"/>
  <c r="V69" i="63"/>
  <c r="N69" i="63"/>
  <c r="L69" i="63"/>
  <c r="B69" i="63"/>
  <c r="Z68" i="63"/>
  <c r="X68" i="63"/>
  <c r="V68" i="63"/>
  <c r="T68" i="63"/>
  <c r="P68" i="63"/>
  <c r="H68" i="63"/>
  <c r="D68" i="63"/>
  <c r="B68" i="63"/>
  <c r="X67" i="63"/>
  <c r="Z67" i="63" s="1"/>
  <c r="L67" i="63"/>
  <c r="N67" i="63" s="1"/>
  <c r="B67" i="63"/>
  <c r="T66" i="63"/>
  <c r="P66" i="63"/>
  <c r="H66" i="63"/>
  <c r="D66" i="63"/>
  <c r="L66" i="63" s="1"/>
  <c r="N66" i="63" s="1"/>
  <c r="B66" i="63"/>
  <c r="Z65" i="63"/>
  <c r="X65" i="63"/>
  <c r="N65" i="63"/>
  <c r="L65" i="63"/>
  <c r="J65" i="63"/>
  <c r="B65" i="63"/>
  <c r="Z64" i="63"/>
  <c r="T64" i="63"/>
  <c r="P64" i="63"/>
  <c r="X64" i="63" s="1"/>
  <c r="N64" i="63"/>
  <c r="H64" i="63"/>
  <c r="D64" i="63"/>
  <c r="L64" i="63" s="1"/>
  <c r="B64" i="63"/>
  <c r="Z63" i="63"/>
  <c r="X63" i="63"/>
  <c r="N63" i="63"/>
  <c r="L63" i="63"/>
  <c r="B63" i="63"/>
  <c r="Z62" i="63"/>
  <c r="T62" i="63"/>
  <c r="P62" i="63"/>
  <c r="X62" i="63" s="1"/>
  <c r="N62" i="63"/>
  <c r="L62" i="63"/>
  <c r="J62" i="63"/>
  <c r="H62" i="63"/>
  <c r="D62" i="63"/>
  <c r="B62" i="63"/>
  <c r="Z61" i="63"/>
  <c r="X61" i="63"/>
  <c r="V61" i="63"/>
  <c r="N61" i="63"/>
  <c r="L61" i="63"/>
  <c r="B61" i="63"/>
  <c r="Z60" i="63"/>
  <c r="X60" i="63"/>
  <c r="V60" i="63"/>
  <c r="N60" i="63"/>
  <c r="L60" i="63"/>
  <c r="B60" i="63"/>
  <c r="Z59" i="63"/>
  <c r="X59" i="63"/>
  <c r="T59" i="63"/>
  <c r="P59" i="63"/>
  <c r="H59" i="63"/>
  <c r="D59" i="63"/>
  <c r="B59" i="63"/>
  <c r="Z58" i="63"/>
  <c r="X58" i="63"/>
  <c r="N58" i="63"/>
  <c r="L58" i="63"/>
  <c r="B58" i="63"/>
  <c r="T57" i="63"/>
  <c r="P57" i="63"/>
  <c r="H57" i="63"/>
  <c r="N57" i="63" s="1"/>
  <c r="D57" i="63"/>
  <c r="L57" i="63" s="1"/>
  <c r="B57" i="63"/>
  <c r="Z56" i="63"/>
  <c r="X56" i="63"/>
  <c r="L56" i="63"/>
  <c r="N56" i="63" s="1"/>
  <c r="J56" i="63"/>
  <c r="B56" i="63"/>
  <c r="T55" i="63"/>
  <c r="Z55" i="63" s="1"/>
  <c r="P55" i="63"/>
  <c r="X55" i="63" s="1"/>
  <c r="H55" i="63"/>
  <c r="N55" i="63" s="1"/>
  <c r="D55" i="63"/>
  <c r="L55" i="63" s="1"/>
  <c r="B55" i="63"/>
  <c r="Z54" i="63"/>
  <c r="X54" i="63"/>
  <c r="N54" i="63"/>
  <c r="L54" i="63"/>
  <c r="B54" i="63"/>
  <c r="T53" i="63"/>
  <c r="P53" i="63"/>
  <c r="X53" i="63" s="1"/>
  <c r="L53" i="63"/>
  <c r="N53" i="63" s="1"/>
  <c r="H53" i="63"/>
  <c r="D53" i="63"/>
  <c r="B53" i="63"/>
  <c r="Z52" i="63"/>
  <c r="X52" i="63"/>
  <c r="V52" i="63"/>
  <c r="N52" i="63"/>
  <c r="L52" i="63"/>
  <c r="B52" i="63"/>
  <c r="Z51" i="63"/>
  <c r="X51" i="63"/>
  <c r="N51" i="63"/>
  <c r="L51" i="63"/>
  <c r="B51" i="63"/>
  <c r="Z50" i="63"/>
  <c r="X50" i="63"/>
  <c r="N50" i="63"/>
  <c r="L50" i="63"/>
  <c r="B50" i="63"/>
  <c r="X49" i="63"/>
  <c r="Z49" i="63" s="1"/>
  <c r="N49" i="63"/>
  <c r="L49" i="63"/>
  <c r="J49" i="63"/>
  <c r="B49" i="63"/>
  <c r="Z48" i="63"/>
  <c r="X48" i="63"/>
  <c r="N48" i="63"/>
  <c r="L48" i="63"/>
  <c r="J48" i="63"/>
  <c r="B48" i="63"/>
  <c r="Z47" i="63"/>
  <c r="X47" i="63"/>
  <c r="N47" i="63"/>
  <c r="L47" i="63"/>
  <c r="B47" i="63"/>
  <c r="Z46" i="63"/>
  <c r="X46" i="63"/>
  <c r="N46" i="63"/>
  <c r="L46" i="63"/>
  <c r="B46" i="63"/>
  <c r="Z45" i="63"/>
  <c r="X45" i="63"/>
  <c r="V45" i="63"/>
  <c r="N45" i="63"/>
  <c r="L45" i="63"/>
  <c r="B45" i="63"/>
  <c r="Z44" i="63"/>
  <c r="X44" i="63"/>
  <c r="V44" i="63"/>
  <c r="N44" i="63"/>
  <c r="L44" i="63"/>
  <c r="B44" i="63"/>
  <c r="Z43" i="63"/>
  <c r="X43" i="63"/>
  <c r="N43" i="63"/>
  <c r="L43" i="63"/>
  <c r="B43" i="63"/>
  <c r="T42" i="63"/>
  <c r="P42" i="63"/>
  <c r="X42" i="63" s="1"/>
  <c r="Z42" i="63" s="1"/>
  <c r="L42" i="63"/>
  <c r="N42" i="63" s="1"/>
  <c r="J42" i="63"/>
  <c r="H42" i="63"/>
  <c r="D42" i="63"/>
  <c r="B42" i="63"/>
  <c r="X41" i="63"/>
  <c r="Z41" i="63" s="1"/>
  <c r="V41" i="63"/>
  <c r="L41" i="63"/>
  <c r="N41" i="63" s="1"/>
  <c r="B41" i="63"/>
  <c r="Z40" i="63"/>
  <c r="X40" i="63"/>
  <c r="V40" i="63"/>
  <c r="N40" i="63"/>
  <c r="L40" i="63"/>
  <c r="B40" i="63"/>
  <c r="Z39" i="63"/>
  <c r="X39" i="63"/>
  <c r="N39" i="63"/>
  <c r="L39" i="63"/>
  <c r="B39" i="63"/>
  <c r="Z38" i="63"/>
  <c r="X38" i="63"/>
  <c r="N38" i="63"/>
  <c r="L38" i="63"/>
  <c r="J38" i="63"/>
  <c r="B38" i="63"/>
  <c r="X37" i="63"/>
  <c r="Z37" i="63" s="1"/>
  <c r="L37" i="63"/>
  <c r="N37" i="63" s="1"/>
  <c r="J37" i="63"/>
  <c r="B37" i="63"/>
  <c r="Z36" i="63"/>
  <c r="X36" i="63"/>
  <c r="N36" i="63"/>
  <c r="L36" i="63"/>
  <c r="J36" i="63"/>
  <c r="B36" i="63"/>
  <c r="X35" i="63"/>
  <c r="Z35" i="63" s="1"/>
  <c r="L35" i="63"/>
  <c r="N35" i="63" s="1"/>
  <c r="B35" i="63"/>
  <c r="Z34" i="63"/>
  <c r="X34" i="63"/>
  <c r="N34" i="63"/>
  <c r="L34" i="63"/>
  <c r="B34" i="63"/>
  <c r="V33" i="63"/>
  <c r="T33" i="63"/>
  <c r="P33" i="63"/>
  <c r="H33" i="63"/>
  <c r="D33" i="63"/>
  <c r="L33" i="63" s="1"/>
  <c r="B33" i="63"/>
  <c r="T32" i="63"/>
  <c r="P32" i="63"/>
  <c r="X32" i="63" s="1"/>
  <c r="H32" i="63"/>
  <c r="D32" i="63"/>
  <c r="L32" i="63" s="1"/>
  <c r="N32" i="63" s="1"/>
  <c r="H30" i="63"/>
  <c r="Z28" i="63"/>
  <c r="X28" i="63"/>
  <c r="N28" i="63"/>
  <c r="L28" i="63"/>
  <c r="J28" i="63"/>
  <c r="B28" i="63"/>
  <c r="Z27" i="63"/>
  <c r="X27" i="63"/>
  <c r="N27" i="63"/>
  <c r="L27" i="63"/>
  <c r="B27" i="63"/>
  <c r="Z26" i="63"/>
  <c r="X26" i="63"/>
  <c r="N26" i="63"/>
  <c r="L26" i="63"/>
  <c r="B26" i="63"/>
  <c r="Z25" i="63"/>
  <c r="X25" i="63"/>
  <c r="V25" i="63"/>
  <c r="N25" i="63"/>
  <c r="L25" i="63"/>
  <c r="B25" i="63"/>
  <c r="Z24" i="63"/>
  <c r="X24" i="63"/>
  <c r="V24" i="63"/>
  <c r="N24" i="63"/>
  <c r="L24" i="63"/>
  <c r="J24" i="63"/>
  <c r="B24" i="63"/>
  <c r="Z23" i="63"/>
  <c r="X23" i="63"/>
  <c r="N23" i="63"/>
  <c r="L23" i="63"/>
  <c r="J23" i="63"/>
  <c r="B23" i="63"/>
  <c r="Z22" i="63"/>
  <c r="X22" i="63"/>
  <c r="N22" i="63"/>
  <c r="L22" i="63"/>
  <c r="J22" i="63"/>
  <c r="B22" i="63"/>
  <c r="Z21" i="63"/>
  <c r="X21" i="63"/>
  <c r="N21" i="63"/>
  <c r="L21" i="63"/>
  <c r="J21" i="63"/>
  <c r="B21" i="63"/>
  <c r="Z20" i="63"/>
  <c r="X20" i="63"/>
  <c r="N20" i="63"/>
  <c r="L20" i="63"/>
  <c r="J20" i="63"/>
  <c r="B20" i="63"/>
  <c r="X19" i="63"/>
  <c r="Z19" i="63" s="1"/>
  <c r="N19" i="63"/>
  <c r="L19" i="63"/>
  <c r="B19" i="63"/>
  <c r="T18" i="63"/>
  <c r="P18" i="63"/>
  <c r="J18" i="63"/>
  <c r="H18" i="63"/>
  <c r="D18" i="63"/>
  <c r="L18" i="63" s="1"/>
  <c r="Z16" i="63"/>
  <c r="P16" i="63"/>
  <c r="X16" i="63" s="1"/>
  <c r="N16" i="63"/>
  <c r="L16" i="63"/>
  <c r="D16" i="63"/>
  <c r="B16" i="63"/>
  <c r="Z15" i="63"/>
  <c r="X15" i="63"/>
  <c r="P15" i="63"/>
  <c r="N15" i="63"/>
  <c r="D15" i="63"/>
  <c r="L15" i="63" s="1"/>
  <c r="B15" i="63"/>
  <c r="P14" i="63"/>
  <c r="X14" i="63" s="1"/>
  <c r="Z14" i="63" s="1"/>
  <c r="L14" i="63"/>
  <c r="N14" i="63" s="1"/>
  <c r="D14" i="63"/>
  <c r="B14" i="63"/>
  <c r="P13" i="63"/>
  <c r="X13" i="63" s="1"/>
  <c r="Z13" i="63" s="1"/>
  <c r="D13" i="63"/>
  <c r="L13" i="63" s="1"/>
  <c r="N13" i="63" s="1"/>
  <c r="B13" i="63"/>
  <c r="T12" i="63"/>
  <c r="V79" i="63" s="1"/>
  <c r="H12" i="63"/>
  <c r="J67" i="63" s="1"/>
  <c r="D6" i="63"/>
  <c r="D4" i="63"/>
  <c r="V107" i="62"/>
  <c r="Z102" i="62"/>
  <c r="X102" i="62"/>
  <c r="V102" i="62"/>
  <c r="N102" i="62"/>
  <c r="L102" i="62"/>
  <c r="V100" i="62"/>
  <c r="P98" i="62"/>
  <c r="X98" i="62" s="1"/>
  <c r="Z98" i="62" s="1"/>
  <c r="N98" i="62"/>
  <c r="L98" i="62"/>
  <c r="D98" i="62"/>
  <c r="B98" i="62"/>
  <c r="X97" i="62"/>
  <c r="Z97" i="62" s="1"/>
  <c r="V97" i="62"/>
  <c r="R97" i="62"/>
  <c r="P97" i="62"/>
  <c r="D97" i="62"/>
  <c r="L97" i="62" s="1"/>
  <c r="N97" i="62" s="1"/>
  <c r="B97" i="62"/>
  <c r="T96" i="62"/>
  <c r="H96" i="62"/>
  <c r="X94" i="62"/>
  <c r="Z94" i="62" s="1"/>
  <c r="R94" i="62"/>
  <c r="N94" i="62"/>
  <c r="L94" i="62"/>
  <c r="B94" i="62"/>
  <c r="V93" i="62"/>
  <c r="T93" i="62"/>
  <c r="P93" i="62"/>
  <c r="H93" i="62"/>
  <c r="N93" i="62" s="1"/>
  <c r="F93" i="62"/>
  <c r="D93" i="62"/>
  <c r="L93" i="62" s="1"/>
  <c r="B93" i="62"/>
  <c r="Z92" i="62"/>
  <c r="X92" i="62"/>
  <c r="N92" i="62"/>
  <c r="L92" i="62"/>
  <c r="B92" i="62"/>
  <c r="X91" i="62"/>
  <c r="Z91" i="62" s="1"/>
  <c r="N91" i="62"/>
  <c r="L91" i="62"/>
  <c r="B91" i="62"/>
  <c r="T90" i="62"/>
  <c r="R90" i="62"/>
  <c r="P90" i="62"/>
  <c r="H90" i="62"/>
  <c r="N90" i="62" s="1"/>
  <c r="D90" i="62"/>
  <c r="L90" i="62" s="1"/>
  <c r="B90" i="62"/>
  <c r="Z89" i="62"/>
  <c r="X89" i="62"/>
  <c r="N89" i="62"/>
  <c r="L89" i="62"/>
  <c r="F89" i="62"/>
  <c r="B89" i="62"/>
  <c r="T88" i="62"/>
  <c r="Z88" i="62" s="1"/>
  <c r="P88" i="62"/>
  <c r="X88" i="62" s="1"/>
  <c r="N88" i="62"/>
  <c r="H88" i="62"/>
  <c r="D88" i="62"/>
  <c r="L88" i="62" s="1"/>
  <c r="B88" i="62"/>
  <c r="Z87" i="62"/>
  <c r="X87" i="62"/>
  <c r="L87" i="62"/>
  <c r="N87" i="62" s="1"/>
  <c r="B87" i="62"/>
  <c r="T86" i="62"/>
  <c r="P86" i="62"/>
  <c r="X86" i="62" s="1"/>
  <c r="Z86" i="62" s="1"/>
  <c r="L86" i="62"/>
  <c r="N86" i="62" s="1"/>
  <c r="H86" i="62"/>
  <c r="D86" i="62"/>
  <c r="B86" i="62"/>
  <c r="X85" i="62"/>
  <c r="Z85" i="62" s="1"/>
  <c r="V85" i="62"/>
  <c r="R85" i="62"/>
  <c r="L85" i="62"/>
  <c r="N85" i="62" s="1"/>
  <c r="B85" i="62"/>
  <c r="Z84" i="62"/>
  <c r="X84" i="62"/>
  <c r="V84" i="62"/>
  <c r="N84" i="62"/>
  <c r="L84" i="62"/>
  <c r="B84" i="62"/>
  <c r="X83" i="62"/>
  <c r="Z83" i="62" s="1"/>
  <c r="L83" i="62"/>
  <c r="N83" i="62" s="1"/>
  <c r="B83" i="62"/>
  <c r="Z82" i="62"/>
  <c r="X82" i="62"/>
  <c r="N82" i="62"/>
  <c r="L82" i="62"/>
  <c r="B82" i="62"/>
  <c r="X81" i="62"/>
  <c r="Z81" i="62" s="1"/>
  <c r="L81" i="62"/>
  <c r="N81" i="62" s="1"/>
  <c r="B81" i="62"/>
  <c r="Z80" i="62"/>
  <c r="X80" i="62"/>
  <c r="L80" i="62"/>
  <c r="N80" i="62" s="1"/>
  <c r="B80" i="62"/>
  <c r="T79" i="62"/>
  <c r="R79" i="62"/>
  <c r="P79" i="62"/>
  <c r="X79" i="62" s="1"/>
  <c r="H79" i="62"/>
  <c r="N79" i="62" s="1"/>
  <c r="D79" i="62"/>
  <c r="L79" i="62" s="1"/>
  <c r="B79" i="62"/>
  <c r="Z78" i="62"/>
  <c r="X78" i="62"/>
  <c r="L78" i="62"/>
  <c r="N78" i="62" s="1"/>
  <c r="B78" i="62"/>
  <c r="T77" i="62"/>
  <c r="Z77" i="62" s="1"/>
  <c r="P77" i="62"/>
  <c r="X77" i="62" s="1"/>
  <c r="N77" i="62"/>
  <c r="L77" i="62"/>
  <c r="H77" i="62"/>
  <c r="D77" i="62"/>
  <c r="B77" i="62"/>
  <c r="Z76" i="62"/>
  <c r="X76" i="62"/>
  <c r="V76" i="62"/>
  <c r="N76" i="62"/>
  <c r="L76" i="62"/>
  <c r="B76" i="62"/>
  <c r="X75" i="62"/>
  <c r="Z75" i="62" s="1"/>
  <c r="L75" i="62"/>
  <c r="N75" i="62" s="1"/>
  <c r="B75" i="62"/>
  <c r="Z74" i="62"/>
  <c r="T74" i="62"/>
  <c r="P74" i="62"/>
  <c r="X74" i="62" s="1"/>
  <c r="L74" i="62"/>
  <c r="N74" i="62" s="1"/>
  <c r="H74" i="62"/>
  <c r="D74" i="62"/>
  <c r="B74" i="62"/>
  <c r="Z73" i="62"/>
  <c r="X73" i="62"/>
  <c r="V73" i="62"/>
  <c r="R73" i="62"/>
  <c r="N73" i="62"/>
  <c r="L73" i="62"/>
  <c r="B73" i="62"/>
  <c r="X72" i="62"/>
  <c r="Z72" i="62" s="1"/>
  <c r="V72" i="62"/>
  <c r="N72" i="62"/>
  <c r="L72" i="62"/>
  <c r="B72" i="62"/>
  <c r="X71" i="62"/>
  <c r="Z71" i="62" s="1"/>
  <c r="L71" i="62"/>
  <c r="N71" i="62" s="1"/>
  <c r="B71" i="62"/>
  <c r="Z70" i="62"/>
  <c r="X70" i="62"/>
  <c r="L70" i="62"/>
  <c r="N70" i="62" s="1"/>
  <c r="B70" i="62"/>
  <c r="T69" i="62"/>
  <c r="Z69" i="62" s="1"/>
  <c r="P69" i="62"/>
  <c r="X69" i="62" s="1"/>
  <c r="N69" i="62"/>
  <c r="L69" i="62"/>
  <c r="H69" i="62"/>
  <c r="D69" i="62"/>
  <c r="B69" i="62"/>
  <c r="X68" i="62"/>
  <c r="Z68" i="62" s="1"/>
  <c r="V68" i="62"/>
  <c r="N68" i="62"/>
  <c r="L68" i="62"/>
  <c r="B68" i="62"/>
  <c r="Z67" i="62"/>
  <c r="X67" i="62"/>
  <c r="T67" i="62"/>
  <c r="P67" i="62"/>
  <c r="H67" i="62"/>
  <c r="D67" i="62"/>
  <c r="B67" i="62"/>
  <c r="Z66" i="62"/>
  <c r="X66" i="62"/>
  <c r="R66" i="62"/>
  <c r="N66" i="62"/>
  <c r="L66" i="62"/>
  <c r="B66" i="62"/>
  <c r="V65" i="62"/>
  <c r="T65" i="62"/>
  <c r="P65" i="62"/>
  <c r="H65" i="62"/>
  <c r="N65" i="62" s="1"/>
  <c r="D65" i="62"/>
  <c r="L65" i="62" s="1"/>
  <c r="B65" i="62"/>
  <c r="Z64" i="62"/>
  <c r="X64" i="62"/>
  <c r="R64" i="62"/>
  <c r="L64" i="62"/>
  <c r="N64" i="62" s="1"/>
  <c r="B64" i="62"/>
  <c r="T63" i="62"/>
  <c r="Z63" i="62" s="1"/>
  <c r="R63" i="62"/>
  <c r="P63" i="62"/>
  <c r="X63" i="62" s="1"/>
  <c r="H63" i="62"/>
  <c r="N63" i="62" s="1"/>
  <c r="D63" i="62"/>
  <c r="L63" i="62" s="1"/>
  <c r="B63" i="62"/>
  <c r="Z62" i="62"/>
  <c r="X62" i="62"/>
  <c r="L62" i="62"/>
  <c r="N62" i="62" s="1"/>
  <c r="B62" i="62"/>
  <c r="T61" i="62"/>
  <c r="R61" i="62"/>
  <c r="P61" i="62"/>
  <c r="X61" i="62" s="1"/>
  <c r="L61" i="62"/>
  <c r="N61" i="62" s="1"/>
  <c r="H61" i="62"/>
  <c r="D61" i="62"/>
  <c r="B61" i="62"/>
  <c r="X60" i="62"/>
  <c r="Z60" i="62" s="1"/>
  <c r="V60" i="62"/>
  <c r="N60" i="62"/>
  <c r="L60" i="62"/>
  <c r="B60" i="62"/>
  <c r="X59" i="62"/>
  <c r="Z59" i="62" s="1"/>
  <c r="T59" i="62"/>
  <c r="P59" i="62"/>
  <c r="H59" i="62"/>
  <c r="D59" i="62"/>
  <c r="B59" i="62"/>
  <c r="X58" i="62"/>
  <c r="Z58" i="62" s="1"/>
  <c r="R58" i="62"/>
  <c r="N58" i="62"/>
  <c r="L58" i="62"/>
  <c r="B58" i="62"/>
  <c r="V57" i="62"/>
  <c r="T57" i="62"/>
  <c r="P57" i="62"/>
  <c r="H57" i="62"/>
  <c r="D57" i="62"/>
  <c r="L57" i="62" s="1"/>
  <c r="B57" i="62"/>
  <c r="Z56" i="62"/>
  <c r="X56" i="62"/>
  <c r="R56" i="62"/>
  <c r="L56" i="62"/>
  <c r="N56" i="62" s="1"/>
  <c r="B56" i="62"/>
  <c r="T55" i="62"/>
  <c r="R55" i="62"/>
  <c r="P55" i="62"/>
  <c r="X55" i="62" s="1"/>
  <c r="H55" i="62"/>
  <c r="N55" i="62" s="1"/>
  <c r="D55" i="62"/>
  <c r="L55" i="62" s="1"/>
  <c r="B55" i="62"/>
  <c r="Z54" i="62"/>
  <c r="X54" i="62"/>
  <c r="N54" i="62"/>
  <c r="L54" i="62"/>
  <c r="B54" i="62"/>
  <c r="T53" i="62"/>
  <c r="Z53" i="62" s="1"/>
  <c r="R53" i="62"/>
  <c r="P53" i="62"/>
  <c r="X53" i="62" s="1"/>
  <c r="N53" i="62"/>
  <c r="L53" i="62"/>
  <c r="H53" i="62"/>
  <c r="D53" i="62"/>
  <c r="B53" i="62"/>
  <c r="Z52" i="62"/>
  <c r="X52" i="62"/>
  <c r="V52" i="62"/>
  <c r="N52" i="62"/>
  <c r="L52" i="62"/>
  <c r="B52" i="62"/>
  <c r="Z51" i="62"/>
  <c r="X51" i="62"/>
  <c r="T51" i="62"/>
  <c r="P51" i="62"/>
  <c r="H51" i="62"/>
  <c r="D51" i="62"/>
  <c r="B51" i="62"/>
  <c r="Z50" i="62"/>
  <c r="X50" i="62"/>
  <c r="R50" i="62"/>
  <c r="N50" i="62"/>
  <c r="L50" i="62"/>
  <c r="B50" i="62"/>
  <c r="Z49" i="62"/>
  <c r="X49" i="62"/>
  <c r="V49" i="62"/>
  <c r="R49" i="62"/>
  <c r="N49" i="62"/>
  <c r="L49" i="62"/>
  <c r="B49" i="62"/>
  <c r="X48" i="62"/>
  <c r="Z48" i="62" s="1"/>
  <c r="V48" i="62"/>
  <c r="T48" i="62"/>
  <c r="R48" i="62"/>
  <c r="P48" i="62"/>
  <c r="H48" i="62"/>
  <c r="D48" i="62"/>
  <c r="B48" i="62"/>
  <c r="X47" i="62"/>
  <c r="Z47" i="62" s="1"/>
  <c r="R47" i="62"/>
  <c r="L47" i="62"/>
  <c r="N47" i="62" s="1"/>
  <c r="B47" i="62"/>
  <c r="T46" i="62"/>
  <c r="R46" i="62"/>
  <c r="P46" i="62"/>
  <c r="H46" i="62"/>
  <c r="D46" i="62"/>
  <c r="L46" i="62" s="1"/>
  <c r="B46" i="62"/>
  <c r="X45" i="62"/>
  <c r="Z45" i="62" s="1"/>
  <c r="R45" i="62"/>
  <c r="L45" i="62"/>
  <c r="N45" i="62" s="1"/>
  <c r="B45" i="62"/>
  <c r="T44" i="62"/>
  <c r="R44" i="62"/>
  <c r="P44" i="62"/>
  <c r="X44" i="62" s="1"/>
  <c r="N44" i="62"/>
  <c r="H44" i="62"/>
  <c r="D44" i="62"/>
  <c r="L44" i="62" s="1"/>
  <c r="B44" i="62"/>
  <c r="Z43" i="62"/>
  <c r="X43" i="62"/>
  <c r="R43" i="62"/>
  <c r="N43" i="62"/>
  <c r="L43" i="62"/>
  <c r="B43" i="62"/>
  <c r="Z42" i="62"/>
  <c r="T42" i="62"/>
  <c r="R42" i="62"/>
  <c r="P42" i="62"/>
  <c r="X42" i="62" s="1"/>
  <c r="N42" i="62"/>
  <c r="L42" i="62"/>
  <c r="H42" i="62"/>
  <c r="D42" i="62"/>
  <c r="B42" i="62"/>
  <c r="Z41" i="62"/>
  <c r="X41" i="62"/>
  <c r="V41" i="62"/>
  <c r="R41" i="62"/>
  <c r="N41" i="62"/>
  <c r="L41" i="62"/>
  <c r="B41" i="62"/>
  <c r="Z40" i="62"/>
  <c r="X40" i="62"/>
  <c r="V40" i="62"/>
  <c r="N40" i="62"/>
  <c r="L40" i="62"/>
  <c r="B40" i="62"/>
  <c r="Z39" i="62"/>
  <c r="X39" i="62"/>
  <c r="R39" i="62"/>
  <c r="L39" i="62"/>
  <c r="N39" i="62" s="1"/>
  <c r="B39" i="62"/>
  <c r="Z38" i="62"/>
  <c r="X38" i="62"/>
  <c r="N38" i="62"/>
  <c r="L38" i="62"/>
  <c r="B38" i="62"/>
  <c r="Z37" i="62"/>
  <c r="X37" i="62"/>
  <c r="R37" i="62"/>
  <c r="N37" i="62"/>
  <c r="L37" i="62"/>
  <c r="B37" i="62"/>
  <c r="Z36" i="62"/>
  <c r="X36" i="62"/>
  <c r="R36" i="62"/>
  <c r="N36" i="62"/>
  <c r="L36" i="62"/>
  <c r="B36" i="62"/>
  <c r="X35" i="62"/>
  <c r="Z35" i="62" s="1"/>
  <c r="R35" i="62"/>
  <c r="N35" i="62"/>
  <c r="L35" i="62"/>
  <c r="B35" i="62"/>
  <c r="Z34" i="62"/>
  <c r="X34" i="62"/>
  <c r="R34" i="62"/>
  <c r="N34" i="62"/>
  <c r="L34" i="62"/>
  <c r="B34" i="62"/>
  <c r="Z33" i="62"/>
  <c r="X33" i="62"/>
  <c r="V33" i="62"/>
  <c r="R33" i="62"/>
  <c r="N33" i="62"/>
  <c r="L33" i="62"/>
  <c r="B33" i="62"/>
  <c r="X32" i="62"/>
  <c r="Z32" i="62" s="1"/>
  <c r="V32" i="62"/>
  <c r="N32" i="62"/>
  <c r="L32" i="62"/>
  <c r="B32" i="62"/>
  <c r="X31" i="62"/>
  <c r="Z31" i="62" s="1"/>
  <c r="T31" i="62"/>
  <c r="P31" i="62"/>
  <c r="H31" i="62"/>
  <c r="D31" i="62"/>
  <c r="B31" i="62"/>
  <c r="Z30" i="62"/>
  <c r="X30" i="62"/>
  <c r="R30" i="62"/>
  <c r="N30" i="62"/>
  <c r="L30" i="62"/>
  <c r="B30" i="62"/>
  <c r="X29" i="62"/>
  <c r="Z29" i="62" s="1"/>
  <c r="V29" i="62"/>
  <c r="R29" i="62"/>
  <c r="L29" i="62"/>
  <c r="N29" i="62" s="1"/>
  <c r="B29" i="62"/>
  <c r="X28" i="62"/>
  <c r="Z28" i="62" s="1"/>
  <c r="V28" i="62"/>
  <c r="N28" i="62"/>
  <c r="L28" i="62"/>
  <c r="B28" i="62"/>
  <c r="Z27" i="62"/>
  <c r="X27" i="62"/>
  <c r="R27" i="62"/>
  <c r="N27" i="62"/>
  <c r="L27" i="62"/>
  <c r="B27" i="62"/>
  <c r="Z26" i="62"/>
  <c r="X26" i="62"/>
  <c r="N26" i="62"/>
  <c r="L26" i="62"/>
  <c r="B26" i="62"/>
  <c r="X25" i="62"/>
  <c r="Z25" i="62" s="1"/>
  <c r="R25" i="62"/>
  <c r="L25" i="62"/>
  <c r="N25" i="62" s="1"/>
  <c r="B25" i="62"/>
  <c r="Z24" i="62"/>
  <c r="X24" i="62"/>
  <c r="R24" i="62"/>
  <c r="L24" i="62"/>
  <c r="N24" i="62" s="1"/>
  <c r="B24" i="62"/>
  <c r="X23" i="62"/>
  <c r="Z23" i="62" s="1"/>
  <c r="R23" i="62"/>
  <c r="L23" i="62"/>
  <c r="N23" i="62" s="1"/>
  <c r="B23" i="62"/>
  <c r="X22" i="62"/>
  <c r="Z22" i="62" s="1"/>
  <c r="V22" i="62"/>
  <c r="R22" i="62"/>
  <c r="N22" i="62"/>
  <c r="L22" i="62"/>
  <c r="B22" i="62"/>
  <c r="X21" i="62"/>
  <c r="Z21" i="62" s="1"/>
  <c r="V21" i="62"/>
  <c r="R21" i="62"/>
  <c r="L21" i="62"/>
  <c r="N21" i="62" s="1"/>
  <c r="B21" i="62"/>
  <c r="X20" i="62"/>
  <c r="Z20" i="62" s="1"/>
  <c r="V20" i="62"/>
  <c r="T20" i="62"/>
  <c r="R20" i="62"/>
  <c r="P20" i="62"/>
  <c r="H20" i="62"/>
  <c r="D20" i="62"/>
  <c r="B20" i="62"/>
  <c r="X19" i="62"/>
  <c r="V19" i="62"/>
  <c r="T19" i="62"/>
  <c r="R19" i="62"/>
  <c r="P19" i="62"/>
  <c r="H19" i="62"/>
  <c r="N19" i="62" s="1"/>
  <c r="D19" i="62"/>
  <c r="L19" i="62" s="1"/>
  <c r="P17" i="62"/>
  <c r="J17" i="62"/>
  <c r="Z15" i="62"/>
  <c r="X15" i="62"/>
  <c r="V15" i="62"/>
  <c r="R15" i="62"/>
  <c r="N15" i="62"/>
  <c r="L15" i="62"/>
  <c r="B15" i="62"/>
  <c r="Z14" i="62"/>
  <c r="X14" i="62"/>
  <c r="V14" i="62"/>
  <c r="T14" i="62"/>
  <c r="R14" i="62"/>
  <c r="P14" i="62"/>
  <c r="H14" i="62"/>
  <c r="N14" i="62" s="1"/>
  <c r="D14" i="62"/>
  <c r="Z12" i="62"/>
  <c r="T12" i="62"/>
  <c r="V87" i="62" s="1"/>
  <c r="P12" i="62"/>
  <c r="R102" i="62" s="1"/>
  <c r="H12" i="62"/>
  <c r="D12" i="62"/>
  <c r="F82" i="62" s="1"/>
  <c r="D6" i="62"/>
  <c r="D4" i="62"/>
  <c r="V64" i="61"/>
  <c r="V61" i="61"/>
  <c r="F61" i="61"/>
  <c r="Z59" i="61"/>
  <c r="X59" i="61"/>
  <c r="V59" i="61"/>
  <c r="R59" i="61"/>
  <c r="N59" i="61"/>
  <c r="L59" i="61"/>
  <c r="V57" i="61"/>
  <c r="Z55" i="61"/>
  <c r="X55" i="61"/>
  <c r="V55" i="61"/>
  <c r="T55" i="61"/>
  <c r="R55" i="61"/>
  <c r="P55" i="61"/>
  <c r="L55" i="61"/>
  <c r="H55" i="61"/>
  <c r="N55" i="61" s="1"/>
  <c r="D55" i="61"/>
  <c r="Z53" i="61"/>
  <c r="X53" i="61"/>
  <c r="V53" i="61"/>
  <c r="R53" i="61"/>
  <c r="N53" i="61"/>
  <c r="L53" i="61"/>
  <c r="B53" i="61"/>
  <c r="X52" i="61"/>
  <c r="V52" i="61"/>
  <c r="T52" i="61"/>
  <c r="R52" i="61"/>
  <c r="P52" i="61"/>
  <c r="H52" i="61"/>
  <c r="N52" i="61" s="1"/>
  <c r="F52" i="61"/>
  <c r="D52" i="61"/>
  <c r="L52" i="61" s="1"/>
  <c r="B52" i="61"/>
  <c r="Z51" i="61"/>
  <c r="X51" i="61"/>
  <c r="V51" i="61"/>
  <c r="N51" i="61"/>
  <c r="L51" i="61"/>
  <c r="J51" i="61"/>
  <c r="F51" i="61"/>
  <c r="B51" i="61"/>
  <c r="X50" i="61"/>
  <c r="Z50" i="61" s="1"/>
  <c r="R50" i="61"/>
  <c r="L50" i="61"/>
  <c r="N50" i="61" s="1"/>
  <c r="F50" i="61"/>
  <c r="B50" i="61"/>
  <c r="V49" i="61"/>
  <c r="T49" i="61"/>
  <c r="P49" i="61"/>
  <c r="J49" i="61"/>
  <c r="H49" i="61"/>
  <c r="D49" i="61"/>
  <c r="L49" i="61" s="1"/>
  <c r="N49" i="61" s="1"/>
  <c r="B49" i="61"/>
  <c r="X48" i="61"/>
  <c r="Z48" i="61" s="1"/>
  <c r="L48" i="61"/>
  <c r="N48" i="61" s="1"/>
  <c r="J48" i="61"/>
  <c r="B48" i="61"/>
  <c r="Z47" i="61"/>
  <c r="V47" i="61"/>
  <c r="T47" i="61"/>
  <c r="P47" i="61"/>
  <c r="X47" i="61" s="1"/>
  <c r="N47" i="61"/>
  <c r="L47" i="61"/>
  <c r="H47" i="61"/>
  <c r="D47" i="61"/>
  <c r="B47" i="61"/>
  <c r="Z46" i="61"/>
  <c r="X46" i="61"/>
  <c r="V46" i="61"/>
  <c r="R46" i="61"/>
  <c r="N46" i="61"/>
  <c r="L46" i="61"/>
  <c r="B46" i="61"/>
  <c r="X45" i="61"/>
  <c r="Z45" i="61" s="1"/>
  <c r="V45" i="61"/>
  <c r="N45" i="61"/>
  <c r="L45" i="61"/>
  <c r="B45" i="61"/>
  <c r="X44" i="61"/>
  <c r="Z44" i="61" s="1"/>
  <c r="T44" i="61"/>
  <c r="P44" i="61"/>
  <c r="H44" i="61"/>
  <c r="D44" i="61"/>
  <c r="L44" i="61" s="1"/>
  <c r="N44" i="61" s="1"/>
  <c r="B44" i="61"/>
  <c r="X43" i="61"/>
  <c r="Z43" i="61" s="1"/>
  <c r="V43" i="61"/>
  <c r="N43" i="61"/>
  <c r="L43" i="61"/>
  <c r="J43" i="61"/>
  <c r="B43" i="61"/>
  <c r="X42" i="61"/>
  <c r="Z42" i="61" s="1"/>
  <c r="V42" i="61"/>
  <c r="T42" i="61"/>
  <c r="P42" i="61"/>
  <c r="J42" i="61"/>
  <c r="H42" i="61"/>
  <c r="N42" i="61" s="1"/>
  <c r="D42" i="61"/>
  <c r="L42" i="61" s="1"/>
  <c r="B42" i="61"/>
  <c r="Z41" i="61"/>
  <c r="X41" i="61"/>
  <c r="V41" i="61"/>
  <c r="R41" i="61"/>
  <c r="N41" i="61"/>
  <c r="L41" i="61"/>
  <c r="B41" i="61"/>
  <c r="V40" i="61"/>
  <c r="T40" i="61"/>
  <c r="R40" i="61"/>
  <c r="P40" i="61"/>
  <c r="X40" i="61" s="1"/>
  <c r="H40" i="61"/>
  <c r="F40" i="61"/>
  <c r="D40" i="61"/>
  <c r="B40" i="61"/>
  <c r="Z39" i="61"/>
  <c r="X39" i="61"/>
  <c r="V39" i="61"/>
  <c r="N39" i="61"/>
  <c r="L39" i="61"/>
  <c r="J39" i="61"/>
  <c r="B39" i="61"/>
  <c r="Z38" i="61"/>
  <c r="X38" i="61"/>
  <c r="R38" i="61"/>
  <c r="N38" i="61"/>
  <c r="L38" i="61"/>
  <c r="J38" i="61"/>
  <c r="F38" i="61"/>
  <c r="B38" i="61"/>
  <c r="Z37" i="61"/>
  <c r="X37" i="61"/>
  <c r="V37" i="61"/>
  <c r="R37" i="61"/>
  <c r="L37" i="61"/>
  <c r="N37" i="61" s="1"/>
  <c r="J37" i="61"/>
  <c r="B37" i="61"/>
  <c r="X36" i="61"/>
  <c r="Z36" i="61" s="1"/>
  <c r="V36" i="61"/>
  <c r="R36" i="61"/>
  <c r="N36" i="61"/>
  <c r="L36" i="61"/>
  <c r="F36" i="61"/>
  <c r="B36" i="61"/>
  <c r="Z35" i="61"/>
  <c r="X35" i="61"/>
  <c r="V35" i="61"/>
  <c r="R35" i="61"/>
  <c r="N35" i="61"/>
  <c r="L35" i="61"/>
  <c r="J35" i="61"/>
  <c r="B35" i="61"/>
  <c r="Z34" i="61"/>
  <c r="X34" i="61"/>
  <c r="V34" i="61"/>
  <c r="R34" i="61"/>
  <c r="N34" i="61"/>
  <c r="L34" i="61"/>
  <c r="F34" i="61"/>
  <c r="B34" i="61"/>
  <c r="Z33" i="61"/>
  <c r="X33" i="61"/>
  <c r="V33" i="61"/>
  <c r="N33" i="61"/>
  <c r="L33" i="61"/>
  <c r="F33" i="61"/>
  <c r="B33" i="61"/>
  <c r="Z32" i="61"/>
  <c r="X32" i="61"/>
  <c r="R32" i="61"/>
  <c r="N32" i="61"/>
  <c r="L32" i="61"/>
  <c r="F32" i="61"/>
  <c r="B32" i="61"/>
  <c r="Z31" i="61"/>
  <c r="X31" i="61"/>
  <c r="V31" i="61"/>
  <c r="N31" i="61"/>
  <c r="L31" i="61"/>
  <c r="F31" i="61"/>
  <c r="B31" i="61"/>
  <c r="Z30" i="61"/>
  <c r="X30" i="61"/>
  <c r="R30" i="61"/>
  <c r="N30" i="61"/>
  <c r="L30" i="61"/>
  <c r="F30" i="61"/>
  <c r="B30" i="61"/>
  <c r="V29" i="61"/>
  <c r="T29" i="61"/>
  <c r="R29" i="61"/>
  <c r="P29" i="61"/>
  <c r="N29" i="61"/>
  <c r="J29" i="61"/>
  <c r="H29" i="61"/>
  <c r="D29" i="61"/>
  <c r="L29" i="61" s="1"/>
  <c r="B29" i="61"/>
  <c r="Z28" i="61"/>
  <c r="X28" i="61"/>
  <c r="R28" i="61"/>
  <c r="L28" i="61"/>
  <c r="N28" i="61" s="1"/>
  <c r="J28" i="61"/>
  <c r="B28" i="61"/>
  <c r="Z27" i="61"/>
  <c r="X27" i="61"/>
  <c r="V27" i="61"/>
  <c r="L27" i="61"/>
  <c r="N27" i="61" s="1"/>
  <c r="J27" i="61"/>
  <c r="B27" i="61"/>
  <c r="X26" i="61"/>
  <c r="Z26" i="61" s="1"/>
  <c r="R26" i="61"/>
  <c r="L26" i="61"/>
  <c r="N26" i="61" s="1"/>
  <c r="J26" i="61"/>
  <c r="F26" i="61"/>
  <c r="B26" i="61"/>
  <c r="Z25" i="61"/>
  <c r="X25" i="61"/>
  <c r="V25" i="61"/>
  <c r="R25" i="61"/>
  <c r="N25" i="61"/>
  <c r="L25" i="61"/>
  <c r="J25" i="61"/>
  <c r="B25" i="61"/>
  <c r="Z24" i="61"/>
  <c r="X24" i="61"/>
  <c r="V24" i="61"/>
  <c r="R24" i="61"/>
  <c r="N24" i="61"/>
  <c r="L24" i="61"/>
  <c r="F24" i="61"/>
  <c r="B24" i="61"/>
  <c r="X23" i="61"/>
  <c r="Z23" i="61" s="1"/>
  <c r="V23" i="61"/>
  <c r="R23" i="61"/>
  <c r="N23" i="61"/>
  <c r="L23" i="61"/>
  <c r="J23" i="61"/>
  <c r="B23" i="61"/>
  <c r="X22" i="61"/>
  <c r="Z22" i="61" s="1"/>
  <c r="V22" i="61"/>
  <c r="R22" i="61"/>
  <c r="L22" i="61"/>
  <c r="N22" i="61" s="1"/>
  <c r="F22" i="61"/>
  <c r="B22" i="61"/>
  <c r="Z21" i="61"/>
  <c r="X21" i="61"/>
  <c r="V21" i="61"/>
  <c r="N21" i="61"/>
  <c r="L21" i="61"/>
  <c r="F21" i="61"/>
  <c r="B21" i="61"/>
  <c r="Z20" i="61"/>
  <c r="X20" i="61"/>
  <c r="R20" i="61"/>
  <c r="L20" i="61"/>
  <c r="N20" i="61" s="1"/>
  <c r="B20" i="61"/>
  <c r="V19" i="61"/>
  <c r="T19" i="61"/>
  <c r="R19" i="61"/>
  <c r="P19" i="61"/>
  <c r="X19" i="61" s="1"/>
  <c r="Z19" i="61" s="1"/>
  <c r="L19" i="61"/>
  <c r="N19" i="61" s="1"/>
  <c r="J19" i="61"/>
  <c r="H19" i="61"/>
  <c r="D19" i="61"/>
  <c r="B19" i="61"/>
  <c r="V18" i="61"/>
  <c r="T18" i="61"/>
  <c r="P18" i="61"/>
  <c r="P57" i="61" s="1"/>
  <c r="H18" i="61"/>
  <c r="F18" i="61"/>
  <c r="D18" i="61"/>
  <c r="L18" i="61" s="1"/>
  <c r="T16" i="61"/>
  <c r="Z16" i="61" s="1"/>
  <c r="R16" i="61"/>
  <c r="P16" i="61"/>
  <c r="H16" i="61"/>
  <c r="Z14" i="61"/>
  <c r="X14" i="61"/>
  <c r="V14" i="61"/>
  <c r="T14" i="61"/>
  <c r="P14" i="61"/>
  <c r="J14" i="61"/>
  <c r="H14" i="61"/>
  <c r="N14" i="61" s="1"/>
  <c r="D14" i="61"/>
  <c r="L14" i="61" s="1"/>
  <c r="X12" i="61"/>
  <c r="T12" i="61"/>
  <c r="V48" i="61" s="1"/>
  <c r="P12" i="61"/>
  <c r="N12" i="61"/>
  <c r="L12" i="61"/>
  <c r="H12" i="61"/>
  <c r="J59" i="61" s="1"/>
  <c r="D12" i="61"/>
  <c r="D6" i="61"/>
  <c r="D4" i="61"/>
  <c r="R65" i="60"/>
  <c r="J62" i="60"/>
  <c r="Z60" i="60"/>
  <c r="X60" i="60"/>
  <c r="N60" i="60"/>
  <c r="L60" i="60"/>
  <c r="R58" i="60"/>
  <c r="Z56" i="60"/>
  <c r="T56" i="60"/>
  <c r="P56" i="60"/>
  <c r="X56" i="60" s="1"/>
  <c r="J56" i="60"/>
  <c r="H56" i="60"/>
  <c r="N56" i="60" s="1"/>
  <c r="D56" i="60"/>
  <c r="L56" i="60" s="1"/>
  <c r="Z54" i="60"/>
  <c r="X54" i="60"/>
  <c r="N54" i="60"/>
  <c r="L54" i="60"/>
  <c r="B54" i="60"/>
  <c r="V53" i="60"/>
  <c r="T53" i="60"/>
  <c r="P53" i="60"/>
  <c r="X53" i="60" s="1"/>
  <c r="H53" i="60"/>
  <c r="D53" i="60"/>
  <c r="L53" i="60" s="1"/>
  <c r="N53" i="60" s="1"/>
  <c r="B53" i="60"/>
  <c r="X52" i="60"/>
  <c r="Z52" i="60" s="1"/>
  <c r="V52" i="60"/>
  <c r="N52" i="60"/>
  <c r="L52" i="60"/>
  <c r="J52" i="60"/>
  <c r="B52" i="60"/>
  <c r="Z51" i="60"/>
  <c r="X51" i="60"/>
  <c r="L51" i="60"/>
  <c r="N51" i="60" s="1"/>
  <c r="B51" i="60"/>
  <c r="Z50" i="60"/>
  <c r="X50" i="60"/>
  <c r="N50" i="60"/>
  <c r="L50" i="60"/>
  <c r="B50" i="60"/>
  <c r="V49" i="60"/>
  <c r="T49" i="60"/>
  <c r="P49" i="60"/>
  <c r="H49" i="60"/>
  <c r="D49" i="60"/>
  <c r="L49" i="60" s="1"/>
  <c r="N49" i="60" s="1"/>
  <c r="B49" i="60"/>
  <c r="X48" i="60"/>
  <c r="Z48" i="60" s="1"/>
  <c r="V48" i="60"/>
  <c r="L48" i="60"/>
  <c r="N48" i="60" s="1"/>
  <c r="J48" i="60"/>
  <c r="B48" i="60"/>
  <c r="T47" i="60"/>
  <c r="P47" i="60"/>
  <c r="X47" i="60" s="1"/>
  <c r="Z47" i="60" s="1"/>
  <c r="J47" i="60"/>
  <c r="H47" i="60"/>
  <c r="D47" i="60"/>
  <c r="B47" i="60"/>
  <c r="Z46" i="60"/>
  <c r="X46" i="60"/>
  <c r="N46" i="60"/>
  <c r="L46" i="60"/>
  <c r="B46" i="60"/>
  <c r="X45" i="60"/>
  <c r="Z45" i="60" s="1"/>
  <c r="V45" i="60"/>
  <c r="N45" i="60"/>
  <c r="L45" i="60"/>
  <c r="J45" i="60"/>
  <c r="F45" i="60"/>
  <c r="B45" i="60"/>
  <c r="X44" i="60"/>
  <c r="Z44" i="60" s="1"/>
  <c r="V44" i="60"/>
  <c r="T44" i="60"/>
  <c r="P44" i="60"/>
  <c r="N44" i="60"/>
  <c r="H44" i="60"/>
  <c r="L44" i="60" s="1"/>
  <c r="D44" i="60"/>
  <c r="B44" i="60"/>
  <c r="X43" i="60"/>
  <c r="Z43" i="60" s="1"/>
  <c r="N43" i="60"/>
  <c r="L43" i="60"/>
  <c r="B43" i="60"/>
  <c r="Z42" i="60"/>
  <c r="T42" i="60"/>
  <c r="X42" i="60" s="1"/>
  <c r="P42" i="60"/>
  <c r="J42" i="60"/>
  <c r="H42" i="60"/>
  <c r="D42" i="60"/>
  <c r="L42" i="60" s="1"/>
  <c r="B42" i="60"/>
  <c r="Z41" i="60"/>
  <c r="X41" i="60"/>
  <c r="V41" i="60"/>
  <c r="R41" i="60"/>
  <c r="N41" i="60"/>
  <c r="L41" i="60"/>
  <c r="J41" i="60"/>
  <c r="B41" i="60"/>
  <c r="V40" i="60"/>
  <c r="T40" i="60"/>
  <c r="Z40" i="60" s="1"/>
  <c r="P40" i="60"/>
  <c r="X40" i="60" s="1"/>
  <c r="H40" i="60"/>
  <c r="N40" i="60" s="1"/>
  <c r="F40" i="60"/>
  <c r="D40" i="60"/>
  <c r="L40" i="60" s="1"/>
  <c r="B40" i="60"/>
  <c r="Z39" i="60"/>
  <c r="X39" i="60"/>
  <c r="V39" i="60"/>
  <c r="N39" i="60"/>
  <c r="L39" i="60"/>
  <c r="B39" i="60"/>
  <c r="Z38" i="60"/>
  <c r="X38" i="60"/>
  <c r="N38" i="60"/>
  <c r="L38" i="60"/>
  <c r="B38" i="60"/>
  <c r="Z37" i="60"/>
  <c r="X37" i="60"/>
  <c r="V37" i="60"/>
  <c r="R37" i="60"/>
  <c r="N37" i="60"/>
  <c r="L37" i="60"/>
  <c r="J37" i="60"/>
  <c r="B37" i="60"/>
  <c r="Z36" i="60"/>
  <c r="X36" i="60"/>
  <c r="V36" i="60"/>
  <c r="N36" i="60"/>
  <c r="L36" i="60"/>
  <c r="J36" i="60"/>
  <c r="B36" i="60"/>
  <c r="Z35" i="60"/>
  <c r="X35" i="60"/>
  <c r="V35" i="60"/>
  <c r="N35" i="60"/>
  <c r="L35" i="60"/>
  <c r="B35" i="60"/>
  <c r="Z34" i="60"/>
  <c r="X34" i="60"/>
  <c r="V34" i="60"/>
  <c r="N34" i="60"/>
  <c r="L34" i="60"/>
  <c r="B34" i="60"/>
  <c r="Z33" i="60"/>
  <c r="X33" i="60"/>
  <c r="V33" i="60"/>
  <c r="N33" i="60"/>
  <c r="L33" i="60"/>
  <c r="J33" i="60"/>
  <c r="F33" i="60"/>
  <c r="B33" i="60"/>
  <c r="Z32" i="60"/>
  <c r="X32" i="60"/>
  <c r="V32" i="60"/>
  <c r="N32" i="60"/>
  <c r="L32" i="60"/>
  <c r="J32" i="60"/>
  <c r="B32" i="60"/>
  <c r="Z31" i="60"/>
  <c r="X31" i="60"/>
  <c r="V31" i="60"/>
  <c r="N31" i="60"/>
  <c r="L31" i="60"/>
  <c r="B31" i="60"/>
  <c r="Z30" i="60"/>
  <c r="X30" i="60"/>
  <c r="N30" i="60"/>
  <c r="L30" i="60"/>
  <c r="B30" i="60"/>
  <c r="V29" i="60"/>
  <c r="T29" i="60"/>
  <c r="P29" i="60"/>
  <c r="X29" i="60" s="1"/>
  <c r="H29" i="60"/>
  <c r="D29" i="60"/>
  <c r="L29" i="60" s="1"/>
  <c r="N29" i="60" s="1"/>
  <c r="B29" i="60"/>
  <c r="X28" i="60"/>
  <c r="Z28" i="60" s="1"/>
  <c r="V28" i="60"/>
  <c r="L28" i="60"/>
  <c r="N28" i="60" s="1"/>
  <c r="J28" i="60"/>
  <c r="B28" i="60"/>
  <c r="Z27" i="60"/>
  <c r="X27" i="60"/>
  <c r="V27" i="60"/>
  <c r="L27" i="60"/>
  <c r="N27" i="60" s="1"/>
  <c r="B27" i="60"/>
  <c r="Z26" i="60"/>
  <c r="X26" i="60"/>
  <c r="N26" i="60"/>
  <c r="L26" i="60"/>
  <c r="B26" i="60"/>
  <c r="Z25" i="60"/>
  <c r="X25" i="60"/>
  <c r="V25" i="60"/>
  <c r="R25" i="60"/>
  <c r="N25" i="60"/>
  <c r="L25" i="60"/>
  <c r="J25" i="60"/>
  <c r="B25" i="60"/>
  <c r="Z24" i="60"/>
  <c r="X24" i="60"/>
  <c r="V24" i="60"/>
  <c r="N24" i="60"/>
  <c r="L24" i="60"/>
  <c r="J24" i="60"/>
  <c r="B24" i="60"/>
  <c r="X23" i="60"/>
  <c r="Z23" i="60" s="1"/>
  <c r="V23" i="60"/>
  <c r="N23" i="60"/>
  <c r="L23" i="60"/>
  <c r="B23" i="60"/>
  <c r="Z22" i="60"/>
  <c r="X22" i="60"/>
  <c r="V22" i="60"/>
  <c r="R22" i="60"/>
  <c r="N22" i="60"/>
  <c r="L22" i="60"/>
  <c r="B22" i="60"/>
  <c r="Z21" i="60"/>
  <c r="X21" i="60"/>
  <c r="V21" i="60"/>
  <c r="N21" i="60"/>
  <c r="L21" i="60"/>
  <c r="J21" i="60"/>
  <c r="F21" i="60"/>
  <c r="B21" i="60"/>
  <c r="X20" i="60"/>
  <c r="Z20" i="60" s="1"/>
  <c r="V20" i="60"/>
  <c r="L20" i="60"/>
  <c r="N20" i="60" s="1"/>
  <c r="J20" i="60"/>
  <c r="B20" i="60"/>
  <c r="V19" i="60"/>
  <c r="T19" i="60"/>
  <c r="P19" i="60"/>
  <c r="X19" i="60" s="1"/>
  <c r="Z19" i="60" s="1"/>
  <c r="J19" i="60"/>
  <c r="H19" i="60"/>
  <c r="D19" i="60"/>
  <c r="B19" i="60"/>
  <c r="Z18" i="60"/>
  <c r="V18" i="60"/>
  <c r="T18" i="60"/>
  <c r="P18" i="60"/>
  <c r="X18" i="60" s="1"/>
  <c r="J18" i="60"/>
  <c r="H18" i="60"/>
  <c r="D18" i="60"/>
  <c r="L18" i="60" s="1"/>
  <c r="R16" i="60"/>
  <c r="J16" i="60"/>
  <c r="Z14" i="60"/>
  <c r="V14" i="60"/>
  <c r="T14" i="60"/>
  <c r="T16" i="60" s="1"/>
  <c r="P14" i="60"/>
  <c r="X14" i="60" s="1"/>
  <c r="J14" i="60"/>
  <c r="H14" i="60"/>
  <c r="H16" i="60" s="1"/>
  <c r="D14" i="60"/>
  <c r="L14" i="60" s="1"/>
  <c r="Z12" i="60"/>
  <c r="T12" i="60"/>
  <c r="V51" i="60" s="1"/>
  <c r="P12" i="60"/>
  <c r="R62" i="60" s="1"/>
  <c r="N12" i="60"/>
  <c r="H12" i="60"/>
  <c r="J65" i="60" s="1"/>
  <c r="D12" i="60"/>
  <c r="F44" i="60" s="1"/>
  <c r="D6" i="60"/>
  <c r="D4" i="60"/>
  <c r="V67" i="59"/>
  <c r="F67" i="59"/>
  <c r="Z62" i="59"/>
  <c r="X62" i="59"/>
  <c r="V62" i="59"/>
  <c r="N62" i="59"/>
  <c r="L62" i="59"/>
  <c r="J62" i="59"/>
  <c r="V60" i="59"/>
  <c r="F60" i="59"/>
  <c r="X58" i="59"/>
  <c r="T58" i="59"/>
  <c r="Z58" i="59" s="1"/>
  <c r="P58" i="59"/>
  <c r="N58" i="59"/>
  <c r="H58" i="59"/>
  <c r="D58" i="59"/>
  <c r="L58" i="59" s="1"/>
  <c r="X56" i="59"/>
  <c r="Z56" i="59" s="1"/>
  <c r="V56" i="59"/>
  <c r="L56" i="59"/>
  <c r="N56" i="59" s="1"/>
  <c r="J56" i="59"/>
  <c r="B56" i="59"/>
  <c r="X55" i="59"/>
  <c r="Z55" i="59" s="1"/>
  <c r="N55" i="59"/>
  <c r="L55" i="59"/>
  <c r="B55" i="59"/>
  <c r="Z54" i="59"/>
  <c r="T54" i="59"/>
  <c r="P54" i="59"/>
  <c r="X54" i="59" s="1"/>
  <c r="J54" i="59"/>
  <c r="H54" i="59"/>
  <c r="N54" i="59" s="1"/>
  <c r="D54" i="59"/>
  <c r="L54" i="59" s="1"/>
  <c r="B54" i="59"/>
  <c r="Z53" i="59"/>
  <c r="X53" i="59"/>
  <c r="V53" i="59"/>
  <c r="N53" i="59"/>
  <c r="L53" i="59"/>
  <c r="J53" i="59"/>
  <c r="B53" i="59"/>
  <c r="V52" i="59"/>
  <c r="T52" i="59"/>
  <c r="P52" i="59"/>
  <c r="X52" i="59" s="1"/>
  <c r="H52" i="59"/>
  <c r="F52" i="59"/>
  <c r="D52" i="59"/>
  <c r="B52" i="59"/>
  <c r="Z51" i="59"/>
  <c r="X51" i="59"/>
  <c r="N51" i="59"/>
  <c r="L51" i="59"/>
  <c r="B51" i="59"/>
  <c r="Z50" i="59"/>
  <c r="X50" i="59"/>
  <c r="N50" i="59"/>
  <c r="L50" i="59"/>
  <c r="B50" i="59"/>
  <c r="Z49" i="59"/>
  <c r="X49" i="59"/>
  <c r="V49" i="59"/>
  <c r="N49" i="59"/>
  <c r="L49" i="59"/>
  <c r="J49" i="59"/>
  <c r="B49" i="59"/>
  <c r="X48" i="59"/>
  <c r="Z48" i="59" s="1"/>
  <c r="V48" i="59"/>
  <c r="L48" i="59"/>
  <c r="N48" i="59" s="1"/>
  <c r="J48" i="59"/>
  <c r="B48" i="59"/>
  <c r="X47" i="59"/>
  <c r="Z47" i="59" s="1"/>
  <c r="T47" i="59"/>
  <c r="P47" i="59"/>
  <c r="J47" i="59"/>
  <c r="H47" i="59"/>
  <c r="D47" i="59"/>
  <c r="B47" i="59"/>
  <c r="Z46" i="59"/>
  <c r="X46" i="59"/>
  <c r="N46" i="59"/>
  <c r="L46" i="59"/>
  <c r="B46" i="59"/>
  <c r="V45" i="59"/>
  <c r="T45" i="59"/>
  <c r="P45" i="59"/>
  <c r="H45" i="59"/>
  <c r="D45" i="59"/>
  <c r="L45" i="59" s="1"/>
  <c r="N45" i="59" s="1"/>
  <c r="B45" i="59"/>
  <c r="X44" i="59"/>
  <c r="Z44" i="59" s="1"/>
  <c r="V44" i="59"/>
  <c r="L44" i="59"/>
  <c r="N44" i="59" s="1"/>
  <c r="J44" i="59"/>
  <c r="B44" i="59"/>
  <c r="Z43" i="59"/>
  <c r="X43" i="59"/>
  <c r="L43" i="59"/>
  <c r="N43" i="59" s="1"/>
  <c r="B43" i="59"/>
  <c r="T42" i="59"/>
  <c r="R42" i="59"/>
  <c r="P42" i="59"/>
  <c r="L42" i="59"/>
  <c r="J42" i="59"/>
  <c r="H42" i="59"/>
  <c r="N42" i="59" s="1"/>
  <c r="D42" i="59"/>
  <c r="B42" i="59"/>
  <c r="Z41" i="59"/>
  <c r="X41" i="59"/>
  <c r="V41" i="59"/>
  <c r="N41" i="59"/>
  <c r="L41" i="59"/>
  <c r="J41" i="59"/>
  <c r="F41" i="59"/>
  <c r="B41" i="59"/>
  <c r="X40" i="59"/>
  <c r="V40" i="59"/>
  <c r="T40" i="59"/>
  <c r="Z40" i="59" s="1"/>
  <c r="P40" i="59"/>
  <c r="N40" i="59"/>
  <c r="H40" i="59"/>
  <c r="D40" i="59"/>
  <c r="L40" i="59" s="1"/>
  <c r="B40" i="59"/>
  <c r="Z39" i="59"/>
  <c r="X39" i="59"/>
  <c r="N39" i="59"/>
  <c r="L39" i="59"/>
  <c r="B39" i="59"/>
  <c r="Z38" i="59"/>
  <c r="X38" i="59"/>
  <c r="N38" i="59"/>
  <c r="L38" i="59"/>
  <c r="B38" i="59"/>
  <c r="Z37" i="59"/>
  <c r="X37" i="59"/>
  <c r="V37" i="59"/>
  <c r="N37" i="59"/>
  <c r="L37" i="59"/>
  <c r="J37" i="59"/>
  <c r="F37" i="59"/>
  <c r="B37" i="59"/>
  <c r="Z36" i="59"/>
  <c r="X36" i="59"/>
  <c r="V36" i="59"/>
  <c r="N36" i="59"/>
  <c r="L36" i="59"/>
  <c r="J36" i="59"/>
  <c r="B36" i="59"/>
  <c r="Z35" i="59"/>
  <c r="X35" i="59"/>
  <c r="N35" i="59"/>
  <c r="L35" i="59"/>
  <c r="B35" i="59"/>
  <c r="Z34" i="59"/>
  <c r="X34" i="59"/>
  <c r="N34" i="59"/>
  <c r="L34" i="59"/>
  <c r="B34" i="59"/>
  <c r="Z33" i="59"/>
  <c r="X33" i="59"/>
  <c r="V33" i="59"/>
  <c r="R33" i="59"/>
  <c r="L33" i="59"/>
  <c r="N33" i="59" s="1"/>
  <c r="J33" i="59"/>
  <c r="B33" i="59"/>
  <c r="Z32" i="59"/>
  <c r="X32" i="59"/>
  <c r="V32" i="59"/>
  <c r="N32" i="59"/>
  <c r="L32" i="59"/>
  <c r="J32" i="59"/>
  <c r="B32" i="59"/>
  <c r="X31" i="59"/>
  <c r="Z31" i="59" s="1"/>
  <c r="N31" i="59"/>
  <c r="L31" i="59"/>
  <c r="B31" i="59"/>
  <c r="Z30" i="59"/>
  <c r="X30" i="59"/>
  <c r="N30" i="59"/>
  <c r="L30" i="59"/>
  <c r="B30" i="59"/>
  <c r="V29" i="59"/>
  <c r="T29" i="59"/>
  <c r="P29" i="59"/>
  <c r="L29" i="59"/>
  <c r="N29" i="59" s="1"/>
  <c r="H29" i="59"/>
  <c r="D29" i="59"/>
  <c r="B29" i="59"/>
  <c r="X28" i="59"/>
  <c r="Z28" i="59" s="1"/>
  <c r="V28" i="59"/>
  <c r="L28" i="59"/>
  <c r="N28" i="59" s="1"/>
  <c r="J28" i="59"/>
  <c r="B28" i="59"/>
  <c r="X27" i="59"/>
  <c r="Z27" i="59" s="1"/>
  <c r="N27" i="59"/>
  <c r="L27" i="59"/>
  <c r="J27" i="59"/>
  <c r="B27" i="59"/>
  <c r="Z26" i="59"/>
  <c r="X26" i="59"/>
  <c r="N26" i="59"/>
  <c r="L26" i="59"/>
  <c r="B26" i="59"/>
  <c r="Z25" i="59"/>
  <c r="X25" i="59"/>
  <c r="V25" i="59"/>
  <c r="N25" i="59"/>
  <c r="L25" i="59"/>
  <c r="J25" i="59"/>
  <c r="F25" i="59"/>
  <c r="B25" i="59"/>
  <c r="X24" i="59"/>
  <c r="Z24" i="59" s="1"/>
  <c r="V24" i="59"/>
  <c r="L24" i="59"/>
  <c r="N24" i="59" s="1"/>
  <c r="J24" i="59"/>
  <c r="B24" i="59"/>
  <c r="Z23" i="59"/>
  <c r="X23" i="59"/>
  <c r="L23" i="59"/>
  <c r="N23" i="59" s="1"/>
  <c r="B23" i="59"/>
  <c r="Z22" i="59"/>
  <c r="X22" i="59"/>
  <c r="N22" i="59"/>
  <c r="L22" i="59"/>
  <c r="J22" i="59"/>
  <c r="F22" i="59"/>
  <c r="B22" i="59"/>
  <c r="Z21" i="59"/>
  <c r="X21" i="59"/>
  <c r="V21" i="59"/>
  <c r="L21" i="59"/>
  <c r="N21" i="59" s="1"/>
  <c r="J21" i="59"/>
  <c r="B21" i="59"/>
  <c r="X20" i="59"/>
  <c r="Z20" i="59" s="1"/>
  <c r="V20" i="59"/>
  <c r="L20" i="59"/>
  <c r="N20" i="59" s="1"/>
  <c r="J20" i="59"/>
  <c r="B20" i="59"/>
  <c r="X19" i="59"/>
  <c r="Z19" i="59" s="1"/>
  <c r="T19" i="59"/>
  <c r="R19" i="59"/>
  <c r="P19" i="59"/>
  <c r="J19" i="59"/>
  <c r="H19" i="59"/>
  <c r="D19" i="59"/>
  <c r="B19" i="59"/>
  <c r="T18" i="59"/>
  <c r="P18" i="59"/>
  <c r="L18" i="59"/>
  <c r="J18" i="59"/>
  <c r="H18" i="59"/>
  <c r="N18" i="59" s="1"/>
  <c r="D18" i="59"/>
  <c r="T16" i="59"/>
  <c r="T60" i="59" s="1"/>
  <c r="J16" i="59"/>
  <c r="D16" i="59"/>
  <c r="T14" i="59"/>
  <c r="Z14" i="59" s="1"/>
  <c r="P14" i="59"/>
  <c r="L14" i="59"/>
  <c r="J14" i="59"/>
  <c r="H14" i="59"/>
  <c r="H16" i="59" s="1"/>
  <c r="D14" i="59"/>
  <c r="Z12" i="59"/>
  <c r="T12" i="59"/>
  <c r="V64" i="59" s="1"/>
  <c r="P12" i="59"/>
  <c r="R53" i="59" s="1"/>
  <c r="N12" i="59"/>
  <c r="H12" i="59"/>
  <c r="J55" i="59" s="1"/>
  <c r="D12" i="59"/>
  <c r="F64" i="59" s="1"/>
  <c r="D6" i="59"/>
  <c r="D4" i="59"/>
  <c r="V78" i="58"/>
  <c r="Z76" i="58"/>
  <c r="X76" i="58"/>
  <c r="N76" i="58"/>
  <c r="L76" i="58"/>
  <c r="X72" i="58"/>
  <c r="T72" i="58"/>
  <c r="Z72" i="58" s="1"/>
  <c r="P72" i="58"/>
  <c r="H72" i="58"/>
  <c r="D72" i="58"/>
  <c r="X70" i="58"/>
  <c r="Z70" i="58" s="1"/>
  <c r="L70" i="58"/>
  <c r="N70" i="58" s="1"/>
  <c r="B70" i="58"/>
  <c r="T69" i="58"/>
  <c r="P69" i="58"/>
  <c r="X69" i="58" s="1"/>
  <c r="Z69" i="58" s="1"/>
  <c r="H69" i="58"/>
  <c r="D69" i="58"/>
  <c r="B69" i="58"/>
  <c r="Z68" i="58"/>
  <c r="X68" i="58"/>
  <c r="R68" i="58"/>
  <c r="N68" i="58"/>
  <c r="L68" i="58"/>
  <c r="B68" i="58"/>
  <c r="V67" i="58"/>
  <c r="T67" i="58"/>
  <c r="P67" i="58"/>
  <c r="N67" i="58"/>
  <c r="L67" i="58"/>
  <c r="H67" i="58"/>
  <c r="D67" i="58"/>
  <c r="B67" i="58"/>
  <c r="Z66" i="58"/>
  <c r="X66" i="58"/>
  <c r="V66" i="58"/>
  <c r="N66" i="58"/>
  <c r="L66" i="58"/>
  <c r="B66" i="58"/>
  <c r="X65" i="58"/>
  <c r="Z65" i="58" s="1"/>
  <c r="N65" i="58"/>
  <c r="L65" i="58"/>
  <c r="B65" i="58"/>
  <c r="Z64" i="58"/>
  <c r="X64" i="58"/>
  <c r="N64" i="58"/>
  <c r="L64" i="58"/>
  <c r="B64" i="58"/>
  <c r="Z63" i="58"/>
  <c r="X63" i="58"/>
  <c r="N63" i="58"/>
  <c r="L63" i="58"/>
  <c r="J63" i="58"/>
  <c r="B63" i="58"/>
  <c r="X62" i="58"/>
  <c r="T62" i="58"/>
  <c r="P62" i="58"/>
  <c r="H62" i="58"/>
  <c r="D62" i="58"/>
  <c r="L62" i="58" s="1"/>
  <c r="N62" i="58" s="1"/>
  <c r="B62" i="58"/>
  <c r="X61" i="58"/>
  <c r="Z61" i="58" s="1"/>
  <c r="N61" i="58"/>
  <c r="L61" i="58"/>
  <c r="B61" i="58"/>
  <c r="T60" i="58"/>
  <c r="P60" i="58"/>
  <c r="L60" i="58"/>
  <c r="J60" i="58"/>
  <c r="H60" i="58"/>
  <c r="D60" i="58"/>
  <c r="B60" i="58"/>
  <c r="Z59" i="58"/>
  <c r="X59" i="58"/>
  <c r="N59" i="58"/>
  <c r="L59" i="58"/>
  <c r="B59" i="58"/>
  <c r="X58" i="58"/>
  <c r="Z58" i="58" s="1"/>
  <c r="V58" i="58"/>
  <c r="L58" i="58"/>
  <c r="N58" i="58" s="1"/>
  <c r="B58" i="58"/>
  <c r="Z57" i="58"/>
  <c r="X57" i="58"/>
  <c r="T57" i="58"/>
  <c r="P57" i="58"/>
  <c r="J57" i="58"/>
  <c r="H57" i="58"/>
  <c r="D57" i="58"/>
  <c r="L57" i="58" s="1"/>
  <c r="B57" i="58"/>
  <c r="Z56" i="58"/>
  <c r="X56" i="58"/>
  <c r="N56" i="58"/>
  <c r="L56" i="58"/>
  <c r="B56" i="58"/>
  <c r="Z55" i="58"/>
  <c r="X55" i="58"/>
  <c r="L55" i="58"/>
  <c r="N55" i="58" s="1"/>
  <c r="J55" i="58"/>
  <c r="B55" i="58"/>
  <c r="Z54" i="58"/>
  <c r="X54" i="58"/>
  <c r="N54" i="58"/>
  <c r="L54" i="58"/>
  <c r="B54" i="58"/>
  <c r="Z53" i="58"/>
  <c r="X53" i="58"/>
  <c r="T53" i="58"/>
  <c r="R53" i="58"/>
  <c r="P53" i="58"/>
  <c r="H53" i="58"/>
  <c r="D53" i="58"/>
  <c r="B53" i="58"/>
  <c r="Z52" i="58"/>
  <c r="X52" i="58"/>
  <c r="R52" i="58"/>
  <c r="N52" i="58"/>
  <c r="L52" i="58"/>
  <c r="B52" i="58"/>
  <c r="V51" i="58"/>
  <c r="T51" i="58"/>
  <c r="P51" i="58"/>
  <c r="X51" i="58" s="1"/>
  <c r="N51" i="58"/>
  <c r="H51" i="58"/>
  <c r="D51" i="58"/>
  <c r="L51" i="58" s="1"/>
  <c r="B51" i="58"/>
  <c r="Z50" i="58"/>
  <c r="X50" i="58"/>
  <c r="N50" i="58"/>
  <c r="L50" i="58"/>
  <c r="B50" i="58"/>
  <c r="Z49" i="58"/>
  <c r="T49" i="58"/>
  <c r="R49" i="58"/>
  <c r="P49" i="58"/>
  <c r="X49" i="58" s="1"/>
  <c r="H49" i="58"/>
  <c r="N49" i="58" s="1"/>
  <c r="D49" i="58"/>
  <c r="B49" i="58"/>
  <c r="Z48" i="58"/>
  <c r="X48" i="58"/>
  <c r="R48" i="58"/>
  <c r="N48" i="58"/>
  <c r="L48" i="58"/>
  <c r="F48" i="58"/>
  <c r="B48" i="58"/>
  <c r="T47" i="58"/>
  <c r="Z47" i="58" s="1"/>
  <c r="P47" i="58"/>
  <c r="X47" i="58" s="1"/>
  <c r="N47" i="58"/>
  <c r="H47" i="58"/>
  <c r="F47" i="58"/>
  <c r="D47" i="58"/>
  <c r="L47" i="58" s="1"/>
  <c r="B47" i="58"/>
  <c r="X46" i="58"/>
  <c r="Z46" i="58" s="1"/>
  <c r="L46" i="58"/>
  <c r="N46" i="58" s="1"/>
  <c r="B46" i="58"/>
  <c r="Z45" i="58"/>
  <c r="X45" i="58"/>
  <c r="T45" i="58"/>
  <c r="P45" i="58"/>
  <c r="J45" i="58"/>
  <c r="H45" i="58"/>
  <c r="D45" i="58"/>
  <c r="L45" i="58" s="1"/>
  <c r="B45" i="58"/>
  <c r="Z44" i="58"/>
  <c r="X44" i="58"/>
  <c r="N44" i="58"/>
  <c r="L44" i="58"/>
  <c r="B44" i="58"/>
  <c r="V43" i="58"/>
  <c r="T43" i="58"/>
  <c r="P43" i="58"/>
  <c r="H43" i="58"/>
  <c r="D43" i="58"/>
  <c r="L43" i="58" s="1"/>
  <c r="N43" i="58" s="1"/>
  <c r="B43" i="58"/>
  <c r="X42" i="58"/>
  <c r="Z42" i="58" s="1"/>
  <c r="L42" i="58"/>
  <c r="N42" i="58" s="1"/>
  <c r="B42" i="58"/>
  <c r="X41" i="58"/>
  <c r="Z41" i="58" s="1"/>
  <c r="T41" i="58"/>
  <c r="P41" i="58"/>
  <c r="J41" i="58"/>
  <c r="H41" i="58"/>
  <c r="D41" i="58"/>
  <c r="B41" i="58"/>
  <c r="Z40" i="58"/>
  <c r="X40" i="58"/>
  <c r="N40" i="58"/>
  <c r="L40" i="58"/>
  <c r="B40" i="58"/>
  <c r="Z39" i="58"/>
  <c r="X39" i="58"/>
  <c r="V39" i="58"/>
  <c r="N39" i="58"/>
  <c r="L39" i="58"/>
  <c r="J39" i="58"/>
  <c r="F39" i="58"/>
  <c r="B39" i="58"/>
  <c r="Z38" i="58"/>
  <c r="X38" i="58"/>
  <c r="N38" i="58"/>
  <c r="L38" i="58"/>
  <c r="J38" i="58"/>
  <c r="B38" i="58"/>
  <c r="Z37" i="58"/>
  <c r="X37" i="58"/>
  <c r="N37" i="58"/>
  <c r="L37" i="58"/>
  <c r="B37" i="58"/>
  <c r="Z36" i="58"/>
  <c r="X36" i="58"/>
  <c r="R36" i="58"/>
  <c r="N36" i="58"/>
  <c r="L36" i="58"/>
  <c r="F36" i="58"/>
  <c r="B36" i="58"/>
  <c r="Z35" i="58"/>
  <c r="X35" i="58"/>
  <c r="R35" i="58"/>
  <c r="L35" i="58"/>
  <c r="N35" i="58" s="1"/>
  <c r="J35" i="58"/>
  <c r="F35" i="58"/>
  <c r="B35" i="58"/>
  <c r="X34" i="58"/>
  <c r="Z34" i="58" s="1"/>
  <c r="V34" i="58"/>
  <c r="L34" i="58"/>
  <c r="N34" i="58" s="1"/>
  <c r="J34" i="58"/>
  <c r="B34" i="58"/>
  <c r="Z33" i="58"/>
  <c r="X33" i="58"/>
  <c r="N33" i="58"/>
  <c r="L33" i="58"/>
  <c r="B33" i="58"/>
  <c r="Z32" i="58"/>
  <c r="X32" i="58"/>
  <c r="N32" i="58"/>
  <c r="L32" i="58"/>
  <c r="B32" i="58"/>
  <c r="X31" i="58"/>
  <c r="Z31" i="58" s="1"/>
  <c r="R31" i="58"/>
  <c r="N31" i="58"/>
  <c r="L31" i="58"/>
  <c r="J31" i="58"/>
  <c r="B31" i="58"/>
  <c r="X30" i="58"/>
  <c r="T30" i="58"/>
  <c r="Z30" i="58" s="1"/>
  <c r="P30" i="58"/>
  <c r="H30" i="58"/>
  <c r="D30" i="58"/>
  <c r="B30" i="58"/>
  <c r="X29" i="58"/>
  <c r="Z29" i="58" s="1"/>
  <c r="L29" i="58"/>
  <c r="N29" i="58" s="1"/>
  <c r="B29" i="58"/>
  <c r="Z28" i="58"/>
  <c r="X28" i="58"/>
  <c r="R28" i="58"/>
  <c r="N28" i="58"/>
  <c r="L28" i="58"/>
  <c r="B28" i="58"/>
  <c r="X27" i="58"/>
  <c r="Z27" i="58" s="1"/>
  <c r="V27" i="58"/>
  <c r="N27" i="58"/>
  <c r="L27" i="58"/>
  <c r="J27" i="58"/>
  <c r="B27" i="58"/>
  <c r="Z26" i="58"/>
  <c r="X26" i="58"/>
  <c r="N26" i="58"/>
  <c r="L26" i="58"/>
  <c r="J26" i="58"/>
  <c r="B26" i="58"/>
  <c r="X25" i="58"/>
  <c r="Z25" i="58" s="1"/>
  <c r="N25" i="58"/>
  <c r="L25" i="58"/>
  <c r="B25" i="58"/>
  <c r="Z24" i="58"/>
  <c r="X24" i="58"/>
  <c r="N24" i="58"/>
  <c r="L24" i="58"/>
  <c r="B24" i="58"/>
  <c r="Z23" i="58"/>
  <c r="X23" i="58"/>
  <c r="V23" i="58"/>
  <c r="L23" i="58"/>
  <c r="N23" i="58" s="1"/>
  <c r="J23" i="58"/>
  <c r="B23" i="58"/>
  <c r="X22" i="58"/>
  <c r="Z22" i="58" s="1"/>
  <c r="V22" i="58"/>
  <c r="L22" i="58"/>
  <c r="N22" i="58" s="1"/>
  <c r="B22" i="58"/>
  <c r="Z21" i="58"/>
  <c r="X21" i="58"/>
  <c r="N21" i="58"/>
  <c r="L21" i="58"/>
  <c r="J21" i="58"/>
  <c r="B21" i="58"/>
  <c r="Z20" i="58"/>
  <c r="X20" i="58"/>
  <c r="L20" i="58"/>
  <c r="N20" i="58" s="1"/>
  <c r="B20" i="58"/>
  <c r="T19" i="58"/>
  <c r="R19" i="58"/>
  <c r="P19" i="58"/>
  <c r="X19" i="58" s="1"/>
  <c r="L19" i="58"/>
  <c r="N19" i="58" s="1"/>
  <c r="H19" i="58"/>
  <c r="F19" i="58"/>
  <c r="D19" i="58"/>
  <c r="B19" i="58"/>
  <c r="X18" i="58"/>
  <c r="V18" i="58"/>
  <c r="T18" i="58"/>
  <c r="P18" i="58"/>
  <c r="H18" i="58"/>
  <c r="D18" i="58"/>
  <c r="L18" i="58" s="1"/>
  <c r="N18" i="58" s="1"/>
  <c r="N16" i="58"/>
  <c r="H16" i="58"/>
  <c r="H74" i="58" s="1"/>
  <c r="F16" i="58"/>
  <c r="V14" i="58"/>
  <c r="T14" i="58"/>
  <c r="P14" i="58"/>
  <c r="N14" i="58"/>
  <c r="L14" i="58"/>
  <c r="J14" i="58"/>
  <c r="H14" i="58"/>
  <c r="D14" i="58"/>
  <c r="X12" i="58"/>
  <c r="T12" i="58"/>
  <c r="V54" i="58" s="1"/>
  <c r="P12" i="58"/>
  <c r="R69" i="58" s="1"/>
  <c r="N12" i="58"/>
  <c r="H12" i="58"/>
  <c r="J70" i="58" s="1"/>
  <c r="D12" i="58"/>
  <c r="F40" i="58" s="1"/>
  <c r="D6" i="58"/>
  <c r="D4" i="58"/>
  <c r="V72" i="57"/>
  <c r="F72" i="57"/>
  <c r="Z67" i="57"/>
  <c r="X67" i="57"/>
  <c r="V67" i="57"/>
  <c r="N67" i="57"/>
  <c r="L67" i="57"/>
  <c r="F67" i="57"/>
  <c r="V65" i="57"/>
  <c r="F65" i="57"/>
  <c r="T63" i="57"/>
  <c r="P63" i="57"/>
  <c r="N63" i="57"/>
  <c r="H63" i="57"/>
  <c r="D63" i="57"/>
  <c r="L63" i="57" s="1"/>
  <c r="Z61" i="57"/>
  <c r="X61" i="57"/>
  <c r="V61" i="57"/>
  <c r="N61" i="57"/>
  <c r="L61" i="57"/>
  <c r="F61" i="57"/>
  <c r="B61" i="57"/>
  <c r="Z60" i="57"/>
  <c r="X60" i="57"/>
  <c r="T60" i="57"/>
  <c r="P60" i="57"/>
  <c r="H60" i="57"/>
  <c r="D60" i="57"/>
  <c r="B60" i="57"/>
  <c r="Z59" i="57"/>
  <c r="X59" i="57"/>
  <c r="N59" i="57"/>
  <c r="L59" i="57"/>
  <c r="B59" i="57"/>
  <c r="Z58" i="57"/>
  <c r="T58" i="57"/>
  <c r="X58" i="57" s="1"/>
  <c r="P58" i="57"/>
  <c r="N58" i="57"/>
  <c r="J58" i="57"/>
  <c r="H58" i="57"/>
  <c r="D58" i="57"/>
  <c r="L58" i="57" s="1"/>
  <c r="B58" i="57"/>
  <c r="X57" i="57"/>
  <c r="Z57" i="57" s="1"/>
  <c r="L57" i="57"/>
  <c r="N57" i="57" s="1"/>
  <c r="J57" i="57"/>
  <c r="B57" i="57"/>
  <c r="V56" i="57"/>
  <c r="T56" i="57"/>
  <c r="P56" i="57"/>
  <c r="X56" i="57" s="1"/>
  <c r="Z56" i="57" s="1"/>
  <c r="H56" i="57"/>
  <c r="F56" i="57"/>
  <c r="D56" i="57"/>
  <c r="L56" i="57" s="1"/>
  <c r="N56" i="57" s="1"/>
  <c r="B56" i="57"/>
  <c r="Z55" i="57"/>
  <c r="X55" i="57"/>
  <c r="L55" i="57"/>
  <c r="N55" i="57" s="1"/>
  <c r="B55" i="57"/>
  <c r="T54" i="57"/>
  <c r="P54" i="57"/>
  <c r="X54" i="57" s="1"/>
  <c r="Z54" i="57" s="1"/>
  <c r="L54" i="57"/>
  <c r="N54" i="57" s="1"/>
  <c r="H54" i="57"/>
  <c r="D54" i="57"/>
  <c r="B54" i="57"/>
  <c r="X53" i="57"/>
  <c r="Z53" i="57" s="1"/>
  <c r="V53" i="57"/>
  <c r="L53" i="57"/>
  <c r="N53" i="57" s="1"/>
  <c r="F53" i="57"/>
  <c r="B53" i="57"/>
  <c r="X52" i="57"/>
  <c r="Z52" i="57" s="1"/>
  <c r="T52" i="57"/>
  <c r="P52" i="57"/>
  <c r="H52" i="57"/>
  <c r="D52" i="57"/>
  <c r="B52" i="57"/>
  <c r="X51" i="57"/>
  <c r="Z51" i="57" s="1"/>
  <c r="N51" i="57"/>
  <c r="L51" i="57"/>
  <c r="B51" i="57"/>
  <c r="Z50" i="57"/>
  <c r="X50" i="57"/>
  <c r="N50" i="57"/>
  <c r="L50" i="57"/>
  <c r="B50" i="57"/>
  <c r="Z49" i="57"/>
  <c r="X49" i="57"/>
  <c r="V49" i="57"/>
  <c r="N49" i="57"/>
  <c r="L49" i="57"/>
  <c r="F49" i="57"/>
  <c r="B49" i="57"/>
  <c r="X48" i="57"/>
  <c r="Z48" i="57" s="1"/>
  <c r="T48" i="57"/>
  <c r="P48" i="57"/>
  <c r="H48" i="57"/>
  <c r="D48" i="57"/>
  <c r="B48" i="57"/>
  <c r="X47" i="57"/>
  <c r="Z47" i="57" s="1"/>
  <c r="N47" i="57"/>
  <c r="L47" i="57"/>
  <c r="B47" i="57"/>
  <c r="T46" i="57"/>
  <c r="P46" i="57"/>
  <c r="J46" i="57"/>
  <c r="H46" i="57"/>
  <c r="D46" i="57"/>
  <c r="L46" i="57" s="1"/>
  <c r="N46" i="57" s="1"/>
  <c r="B46" i="57"/>
  <c r="X45" i="57"/>
  <c r="Z45" i="57" s="1"/>
  <c r="L45" i="57"/>
  <c r="N45" i="57" s="1"/>
  <c r="J45" i="57"/>
  <c r="B45" i="57"/>
  <c r="V44" i="57"/>
  <c r="T44" i="57"/>
  <c r="P44" i="57"/>
  <c r="X44" i="57" s="1"/>
  <c r="Z44" i="57" s="1"/>
  <c r="H44" i="57"/>
  <c r="F44" i="57"/>
  <c r="D44" i="57"/>
  <c r="L44" i="57" s="1"/>
  <c r="B44" i="57"/>
  <c r="Z43" i="57"/>
  <c r="X43" i="57"/>
  <c r="L43" i="57"/>
  <c r="N43" i="57" s="1"/>
  <c r="B43" i="57"/>
  <c r="V42" i="57"/>
  <c r="T42" i="57"/>
  <c r="R42" i="57"/>
  <c r="P42" i="57"/>
  <c r="X42" i="57" s="1"/>
  <c r="L42" i="57"/>
  <c r="N42" i="57" s="1"/>
  <c r="H42" i="57"/>
  <c r="D42" i="57"/>
  <c r="B42" i="57"/>
  <c r="X41" i="57"/>
  <c r="Z41" i="57" s="1"/>
  <c r="V41" i="57"/>
  <c r="L41" i="57"/>
  <c r="N41" i="57" s="1"/>
  <c r="F41" i="57"/>
  <c r="B41" i="57"/>
  <c r="X40" i="57"/>
  <c r="Z40" i="57" s="1"/>
  <c r="T40" i="57"/>
  <c r="P40" i="57"/>
  <c r="N40" i="57"/>
  <c r="H40" i="57"/>
  <c r="L40" i="57" s="1"/>
  <c r="D40" i="57"/>
  <c r="B40" i="57"/>
  <c r="Z39" i="57"/>
  <c r="X39" i="57"/>
  <c r="N39" i="57"/>
  <c r="L39" i="57"/>
  <c r="B39" i="57"/>
  <c r="Z38" i="57"/>
  <c r="X38" i="57"/>
  <c r="N38" i="57"/>
  <c r="L38" i="57"/>
  <c r="B38" i="57"/>
  <c r="X37" i="57"/>
  <c r="Z37" i="57" s="1"/>
  <c r="V37" i="57"/>
  <c r="L37" i="57"/>
  <c r="N37" i="57" s="1"/>
  <c r="F37" i="57"/>
  <c r="B37" i="57"/>
  <c r="Z36" i="57"/>
  <c r="X36" i="57"/>
  <c r="N36" i="57"/>
  <c r="L36" i="57"/>
  <c r="J36" i="57"/>
  <c r="B36" i="57"/>
  <c r="Z35" i="57"/>
  <c r="X35" i="57"/>
  <c r="N35" i="57"/>
  <c r="L35" i="57"/>
  <c r="B35" i="57"/>
  <c r="Z34" i="57"/>
  <c r="X34" i="57"/>
  <c r="V34" i="57"/>
  <c r="N34" i="57"/>
  <c r="L34" i="57"/>
  <c r="F34" i="57"/>
  <c r="B34" i="57"/>
  <c r="Z33" i="57"/>
  <c r="X33" i="57"/>
  <c r="N33" i="57"/>
  <c r="L33" i="57"/>
  <c r="J33" i="57"/>
  <c r="B33" i="57"/>
  <c r="Z32" i="57"/>
  <c r="X32" i="57"/>
  <c r="V32" i="57"/>
  <c r="N32" i="57"/>
  <c r="L32" i="57"/>
  <c r="B32" i="57"/>
  <c r="X31" i="57"/>
  <c r="Z31" i="57" s="1"/>
  <c r="N31" i="57"/>
  <c r="L31" i="57"/>
  <c r="F31" i="57"/>
  <c r="B31" i="57"/>
  <c r="Z30" i="57"/>
  <c r="X30" i="57"/>
  <c r="R30" i="57"/>
  <c r="N30" i="57"/>
  <c r="L30" i="57"/>
  <c r="B30" i="57"/>
  <c r="V29" i="57"/>
  <c r="T29" i="57"/>
  <c r="P29" i="57"/>
  <c r="X29" i="57" s="1"/>
  <c r="L29" i="57"/>
  <c r="N29" i="57" s="1"/>
  <c r="H29" i="57"/>
  <c r="F29" i="57"/>
  <c r="D29" i="57"/>
  <c r="B29" i="57"/>
  <c r="Z28" i="57"/>
  <c r="X28" i="57"/>
  <c r="V28" i="57"/>
  <c r="L28" i="57"/>
  <c r="N28" i="57" s="1"/>
  <c r="B28" i="57"/>
  <c r="X27" i="57"/>
  <c r="Z27" i="57" s="1"/>
  <c r="N27" i="57"/>
  <c r="L27" i="57"/>
  <c r="F27" i="57"/>
  <c r="B27" i="57"/>
  <c r="Z26" i="57"/>
  <c r="X26" i="57"/>
  <c r="R26" i="57"/>
  <c r="N26" i="57"/>
  <c r="L26" i="57"/>
  <c r="B26" i="57"/>
  <c r="Z25" i="57"/>
  <c r="X25" i="57"/>
  <c r="V25" i="57"/>
  <c r="N25" i="57"/>
  <c r="L25" i="57"/>
  <c r="F25" i="57"/>
  <c r="B25" i="57"/>
  <c r="X24" i="57"/>
  <c r="Z24" i="57" s="1"/>
  <c r="N24" i="57"/>
  <c r="L24" i="57"/>
  <c r="J24" i="57"/>
  <c r="B24" i="57"/>
  <c r="Z23" i="57"/>
  <c r="X23" i="57"/>
  <c r="L23" i="57"/>
  <c r="N23" i="57" s="1"/>
  <c r="B23" i="57"/>
  <c r="Z22" i="57"/>
  <c r="X22" i="57"/>
  <c r="V22" i="57"/>
  <c r="N22" i="57"/>
  <c r="L22" i="57"/>
  <c r="F22" i="57"/>
  <c r="B22" i="57"/>
  <c r="X21" i="57"/>
  <c r="Z21" i="57" s="1"/>
  <c r="R21" i="57"/>
  <c r="L21" i="57"/>
  <c r="N21" i="57" s="1"/>
  <c r="J21" i="57"/>
  <c r="B21" i="57"/>
  <c r="Z20" i="57"/>
  <c r="X20" i="57"/>
  <c r="V20" i="57"/>
  <c r="L20" i="57"/>
  <c r="N20" i="57" s="1"/>
  <c r="B20" i="57"/>
  <c r="X19" i="57"/>
  <c r="Z19" i="57" s="1"/>
  <c r="T19" i="57"/>
  <c r="P19" i="57"/>
  <c r="H19" i="57"/>
  <c r="D19" i="57"/>
  <c r="B19" i="57"/>
  <c r="V18" i="57"/>
  <c r="T18" i="57"/>
  <c r="Z18" i="57" s="1"/>
  <c r="R18" i="57"/>
  <c r="P18" i="57"/>
  <c r="X18" i="57" s="1"/>
  <c r="L18" i="57"/>
  <c r="N18" i="57" s="1"/>
  <c r="H18" i="57"/>
  <c r="F18" i="57"/>
  <c r="D18" i="57"/>
  <c r="Z16" i="57"/>
  <c r="T16" i="57"/>
  <c r="T65" i="57" s="1"/>
  <c r="J16" i="57"/>
  <c r="D16" i="57"/>
  <c r="V14" i="57"/>
  <c r="T14" i="57"/>
  <c r="Z14" i="57" s="1"/>
  <c r="P14" i="57"/>
  <c r="N14" i="57"/>
  <c r="L14" i="57"/>
  <c r="H14" i="57"/>
  <c r="F14" i="57"/>
  <c r="D14" i="57"/>
  <c r="Z12" i="57"/>
  <c r="T12" i="57"/>
  <c r="V59" i="57" s="1"/>
  <c r="P12" i="57"/>
  <c r="R33" i="57" s="1"/>
  <c r="H12" i="57"/>
  <c r="J72" i="57" s="1"/>
  <c r="D12" i="57"/>
  <c r="F36" i="57" s="1"/>
  <c r="D6" i="57"/>
  <c r="D4" i="57"/>
  <c r="F74" i="56"/>
  <c r="Z72" i="56"/>
  <c r="X72" i="56"/>
  <c r="N72" i="56"/>
  <c r="L72" i="56"/>
  <c r="J72" i="56"/>
  <c r="Z68" i="56"/>
  <c r="T68" i="56"/>
  <c r="P68" i="56"/>
  <c r="X68" i="56" s="1"/>
  <c r="H68" i="56"/>
  <c r="N68" i="56" s="1"/>
  <c r="F68" i="56"/>
  <c r="D68" i="56"/>
  <c r="L68" i="56" s="1"/>
  <c r="X66" i="56"/>
  <c r="Z66" i="56" s="1"/>
  <c r="N66" i="56"/>
  <c r="L66" i="56"/>
  <c r="J66" i="56"/>
  <c r="B66" i="56"/>
  <c r="T65" i="56"/>
  <c r="P65" i="56"/>
  <c r="X65" i="56" s="1"/>
  <c r="Z65" i="56" s="1"/>
  <c r="J65" i="56"/>
  <c r="H65" i="56"/>
  <c r="N65" i="56" s="1"/>
  <c r="D65" i="56"/>
  <c r="L65" i="56" s="1"/>
  <c r="B65" i="56"/>
  <c r="Z64" i="56"/>
  <c r="X64" i="56"/>
  <c r="R64" i="56"/>
  <c r="N64" i="56"/>
  <c r="L64" i="56"/>
  <c r="B64" i="56"/>
  <c r="T63" i="56"/>
  <c r="Z63" i="56" s="1"/>
  <c r="P63" i="56"/>
  <c r="X63" i="56" s="1"/>
  <c r="L63" i="56"/>
  <c r="N63" i="56" s="1"/>
  <c r="H63" i="56"/>
  <c r="F63" i="56"/>
  <c r="D63" i="56"/>
  <c r="B63" i="56"/>
  <c r="Z62" i="56"/>
  <c r="X62" i="56"/>
  <c r="N62" i="56"/>
  <c r="L62" i="56"/>
  <c r="B62" i="56"/>
  <c r="X61" i="56"/>
  <c r="Z61" i="56" s="1"/>
  <c r="N61" i="56"/>
  <c r="L61" i="56"/>
  <c r="B61" i="56"/>
  <c r="T60" i="56"/>
  <c r="Z60" i="56" s="1"/>
  <c r="P60" i="56"/>
  <c r="X60" i="56" s="1"/>
  <c r="J60" i="56"/>
  <c r="H60" i="56"/>
  <c r="D60" i="56"/>
  <c r="L60" i="56" s="1"/>
  <c r="N60" i="56" s="1"/>
  <c r="B60" i="56"/>
  <c r="X59" i="56"/>
  <c r="Z59" i="56" s="1"/>
  <c r="R59" i="56"/>
  <c r="N59" i="56"/>
  <c r="L59" i="56"/>
  <c r="J59" i="56"/>
  <c r="B59" i="56"/>
  <c r="T58" i="56"/>
  <c r="P58" i="56"/>
  <c r="X58" i="56" s="1"/>
  <c r="Z58" i="56" s="1"/>
  <c r="H58" i="56"/>
  <c r="N58" i="56" s="1"/>
  <c r="F58" i="56"/>
  <c r="D58" i="56"/>
  <c r="B58" i="56"/>
  <c r="Z57" i="56"/>
  <c r="X57" i="56"/>
  <c r="N57" i="56"/>
  <c r="L57" i="56"/>
  <c r="B57" i="56"/>
  <c r="X56" i="56"/>
  <c r="Z56" i="56" s="1"/>
  <c r="N56" i="56"/>
  <c r="L56" i="56"/>
  <c r="F56" i="56"/>
  <c r="B56" i="56"/>
  <c r="T55" i="56"/>
  <c r="P55" i="56"/>
  <c r="H55" i="56"/>
  <c r="D55" i="56"/>
  <c r="L55" i="56" s="1"/>
  <c r="N55" i="56" s="1"/>
  <c r="B55" i="56"/>
  <c r="X54" i="56"/>
  <c r="Z54" i="56" s="1"/>
  <c r="N54" i="56"/>
  <c r="L54" i="56"/>
  <c r="J54" i="56"/>
  <c r="B54" i="56"/>
  <c r="Z53" i="56"/>
  <c r="X53" i="56"/>
  <c r="L53" i="56"/>
  <c r="N53" i="56" s="1"/>
  <c r="B53" i="56"/>
  <c r="T52" i="56"/>
  <c r="R52" i="56"/>
  <c r="P52" i="56"/>
  <c r="X52" i="56" s="1"/>
  <c r="L52" i="56"/>
  <c r="N52" i="56" s="1"/>
  <c r="H52" i="56"/>
  <c r="D52" i="56"/>
  <c r="B52" i="56"/>
  <c r="X51" i="56"/>
  <c r="Z51" i="56" s="1"/>
  <c r="L51" i="56"/>
  <c r="N51" i="56" s="1"/>
  <c r="F51" i="56"/>
  <c r="B51" i="56"/>
  <c r="X50" i="56"/>
  <c r="Z50" i="56" s="1"/>
  <c r="T50" i="56"/>
  <c r="P50" i="56"/>
  <c r="H50" i="56"/>
  <c r="L50" i="56" s="1"/>
  <c r="D50" i="56"/>
  <c r="B50" i="56"/>
  <c r="X49" i="56"/>
  <c r="Z49" i="56" s="1"/>
  <c r="N49" i="56"/>
  <c r="L49" i="56"/>
  <c r="B49" i="56"/>
  <c r="T48" i="56"/>
  <c r="X48" i="56" s="1"/>
  <c r="P48" i="56"/>
  <c r="J48" i="56"/>
  <c r="H48" i="56"/>
  <c r="D48" i="56"/>
  <c r="L48" i="56" s="1"/>
  <c r="N48" i="56" s="1"/>
  <c r="B48" i="56"/>
  <c r="X47" i="56"/>
  <c r="Z47" i="56" s="1"/>
  <c r="R47" i="56"/>
  <c r="N47" i="56"/>
  <c r="L47" i="56"/>
  <c r="J47" i="56"/>
  <c r="B47" i="56"/>
  <c r="V46" i="56"/>
  <c r="T46" i="56"/>
  <c r="P46" i="56"/>
  <c r="X46" i="56" s="1"/>
  <c r="Z46" i="56" s="1"/>
  <c r="H46" i="56"/>
  <c r="N46" i="56" s="1"/>
  <c r="F46" i="56"/>
  <c r="D46" i="56"/>
  <c r="L46" i="56" s="1"/>
  <c r="B46" i="56"/>
  <c r="Z45" i="56"/>
  <c r="X45" i="56"/>
  <c r="L45" i="56"/>
  <c r="N45" i="56" s="1"/>
  <c r="B45" i="56"/>
  <c r="T44" i="56"/>
  <c r="Z44" i="56" s="1"/>
  <c r="R44" i="56"/>
  <c r="P44" i="56"/>
  <c r="X44" i="56" s="1"/>
  <c r="L44" i="56"/>
  <c r="H44" i="56"/>
  <c r="D44" i="56"/>
  <c r="B44" i="56"/>
  <c r="Z43" i="56"/>
  <c r="X43" i="56"/>
  <c r="L43" i="56"/>
  <c r="N43" i="56" s="1"/>
  <c r="F43" i="56"/>
  <c r="B43" i="56"/>
  <c r="X42" i="56"/>
  <c r="T42" i="56"/>
  <c r="P42" i="56"/>
  <c r="H42" i="56"/>
  <c r="L42" i="56" s="1"/>
  <c r="D42" i="56"/>
  <c r="B42" i="56"/>
  <c r="X41" i="56"/>
  <c r="Z41" i="56" s="1"/>
  <c r="N41" i="56"/>
  <c r="L41" i="56"/>
  <c r="B41" i="56"/>
  <c r="T40" i="56"/>
  <c r="X40" i="56" s="1"/>
  <c r="P40" i="56"/>
  <c r="J40" i="56"/>
  <c r="H40" i="56"/>
  <c r="D40" i="56"/>
  <c r="L40" i="56" s="1"/>
  <c r="N40" i="56" s="1"/>
  <c r="B40" i="56"/>
  <c r="Z39" i="56"/>
  <c r="X39" i="56"/>
  <c r="R39" i="56"/>
  <c r="N39" i="56"/>
  <c r="L39" i="56"/>
  <c r="J39" i="56"/>
  <c r="B39" i="56"/>
  <c r="Z38" i="56"/>
  <c r="X38" i="56"/>
  <c r="N38" i="56"/>
  <c r="L38" i="56"/>
  <c r="B38" i="56"/>
  <c r="Z37" i="56"/>
  <c r="X37" i="56"/>
  <c r="N37" i="56"/>
  <c r="L37" i="56"/>
  <c r="B37" i="56"/>
  <c r="Z36" i="56"/>
  <c r="X36" i="56"/>
  <c r="R36" i="56"/>
  <c r="N36" i="56"/>
  <c r="L36" i="56"/>
  <c r="J36" i="56"/>
  <c r="B36" i="56"/>
  <c r="Z35" i="56"/>
  <c r="X35" i="56"/>
  <c r="N35" i="56"/>
  <c r="L35" i="56"/>
  <c r="F35" i="56"/>
  <c r="B35" i="56"/>
  <c r="Z34" i="56"/>
  <c r="X34" i="56"/>
  <c r="N34" i="56"/>
  <c r="L34" i="56"/>
  <c r="J34" i="56"/>
  <c r="B34" i="56"/>
  <c r="Z33" i="56"/>
  <c r="X33" i="56"/>
  <c r="R33" i="56"/>
  <c r="N33" i="56"/>
  <c r="L33" i="56"/>
  <c r="B33" i="56"/>
  <c r="Z32" i="56"/>
  <c r="X32" i="56"/>
  <c r="N32" i="56"/>
  <c r="L32" i="56"/>
  <c r="F32" i="56"/>
  <c r="B32" i="56"/>
  <c r="X31" i="56"/>
  <c r="Z31" i="56" s="1"/>
  <c r="R31" i="56"/>
  <c r="N31" i="56"/>
  <c r="L31" i="56"/>
  <c r="J31" i="56"/>
  <c r="B31" i="56"/>
  <c r="Z30" i="56"/>
  <c r="X30" i="56"/>
  <c r="V30" i="56"/>
  <c r="L30" i="56"/>
  <c r="N30" i="56" s="1"/>
  <c r="B30" i="56"/>
  <c r="X29" i="56"/>
  <c r="Z29" i="56" s="1"/>
  <c r="T29" i="56"/>
  <c r="R29" i="56"/>
  <c r="P29" i="56"/>
  <c r="J29" i="56"/>
  <c r="H29" i="56"/>
  <c r="D29" i="56"/>
  <c r="B29" i="56"/>
  <c r="X28" i="56"/>
  <c r="Z28" i="56" s="1"/>
  <c r="R28" i="56"/>
  <c r="N28" i="56"/>
  <c r="L28" i="56"/>
  <c r="F28" i="56"/>
  <c r="B28" i="56"/>
  <c r="X27" i="56"/>
  <c r="Z27" i="56" s="1"/>
  <c r="R27" i="56"/>
  <c r="N27" i="56"/>
  <c r="L27" i="56"/>
  <c r="J27" i="56"/>
  <c r="B27" i="56"/>
  <c r="Z26" i="56"/>
  <c r="X26" i="56"/>
  <c r="L26" i="56"/>
  <c r="N26" i="56" s="1"/>
  <c r="B26" i="56"/>
  <c r="Z25" i="56"/>
  <c r="X25" i="56"/>
  <c r="N25" i="56"/>
  <c r="L25" i="56"/>
  <c r="F25" i="56"/>
  <c r="B25" i="56"/>
  <c r="Z24" i="56"/>
  <c r="X24" i="56"/>
  <c r="R24" i="56"/>
  <c r="L24" i="56"/>
  <c r="N24" i="56" s="1"/>
  <c r="J24" i="56"/>
  <c r="B24" i="56"/>
  <c r="Z23" i="56"/>
  <c r="X23" i="56"/>
  <c r="V23" i="56"/>
  <c r="L23" i="56"/>
  <c r="N23" i="56" s="1"/>
  <c r="J23" i="56"/>
  <c r="F23" i="56"/>
  <c r="B23" i="56"/>
  <c r="X22" i="56"/>
  <c r="Z22" i="56" s="1"/>
  <c r="N22" i="56"/>
  <c r="L22" i="56"/>
  <c r="J22" i="56"/>
  <c r="B22" i="56"/>
  <c r="Z21" i="56"/>
  <c r="X21" i="56"/>
  <c r="R21" i="56"/>
  <c r="L21" i="56"/>
  <c r="N21" i="56" s="1"/>
  <c r="B21" i="56"/>
  <c r="X20" i="56"/>
  <c r="Z20" i="56" s="1"/>
  <c r="R20" i="56"/>
  <c r="N20" i="56"/>
  <c r="L20" i="56"/>
  <c r="F20" i="56"/>
  <c r="B20" i="56"/>
  <c r="T19" i="56"/>
  <c r="P19" i="56"/>
  <c r="H19" i="56"/>
  <c r="D19" i="56"/>
  <c r="L19" i="56" s="1"/>
  <c r="N19" i="56" s="1"/>
  <c r="B19" i="56"/>
  <c r="X18" i="56"/>
  <c r="T18" i="56"/>
  <c r="Z18" i="56" s="1"/>
  <c r="R18" i="56"/>
  <c r="P18" i="56"/>
  <c r="H18" i="56"/>
  <c r="D18" i="56"/>
  <c r="V16" i="56"/>
  <c r="P16" i="56"/>
  <c r="J16" i="56"/>
  <c r="F16" i="56"/>
  <c r="X14" i="56"/>
  <c r="T14" i="56"/>
  <c r="Z14" i="56" s="1"/>
  <c r="R14" i="56"/>
  <c r="P14" i="56"/>
  <c r="N14" i="56"/>
  <c r="H14" i="56"/>
  <c r="H16" i="56" s="1"/>
  <c r="N16" i="56" s="1"/>
  <c r="D14" i="56"/>
  <c r="L14" i="56" s="1"/>
  <c r="T12" i="56"/>
  <c r="V58" i="56" s="1"/>
  <c r="P12" i="56"/>
  <c r="R62" i="56" s="1"/>
  <c r="L12" i="56"/>
  <c r="H12" i="56"/>
  <c r="J63" i="56" s="1"/>
  <c r="D12" i="56"/>
  <c r="F72" i="56" s="1"/>
  <c r="D6" i="56"/>
  <c r="D4" i="56"/>
  <c r="J38" i="55"/>
  <c r="R35" i="55"/>
  <c r="F35" i="55"/>
  <c r="Z33" i="55"/>
  <c r="X33" i="55"/>
  <c r="N33" i="55"/>
  <c r="L33" i="55"/>
  <c r="F33" i="55"/>
  <c r="T31" i="55"/>
  <c r="T29" i="55"/>
  <c r="Z29" i="55" s="1"/>
  <c r="P29" i="55"/>
  <c r="L29" i="55"/>
  <c r="H29" i="55"/>
  <c r="N29" i="55" s="1"/>
  <c r="F29" i="55"/>
  <c r="D29" i="55"/>
  <c r="Z27" i="55"/>
  <c r="X27" i="55"/>
  <c r="L27" i="55"/>
  <c r="N27" i="55" s="1"/>
  <c r="F27" i="55"/>
  <c r="B27" i="55"/>
  <c r="Z26" i="55"/>
  <c r="X26" i="55"/>
  <c r="V26" i="55"/>
  <c r="L26" i="55"/>
  <c r="N26" i="55" s="1"/>
  <c r="F26" i="55"/>
  <c r="B26" i="55"/>
  <c r="X25" i="55"/>
  <c r="T25" i="55"/>
  <c r="P25" i="55"/>
  <c r="H25" i="55"/>
  <c r="D25" i="55"/>
  <c r="B25" i="55"/>
  <c r="X24" i="55"/>
  <c r="Z24" i="55" s="1"/>
  <c r="N24" i="55"/>
  <c r="L24" i="55"/>
  <c r="F24" i="55"/>
  <c r="B24" i="55"/>
  <c r="T23" i="55"/>
  <c r="Z23" i="55" s="1"/>
  <c r="P23" i="55"/>
  <c r="X23" i="55" s="1"/>
  <c r="H23" i="55"/>
  <c r="D23" i="55"/>
  <c r="L23" i="55" s="1"/>
  <c r="N23" i="55" s="1"/>
  <c r="B23" i="55"/>
  <c r="X22" i="55"/>
  <c r="Z22" i="55" s="1"/>
  <c r="N22" i="55"/>
  <c r="L22" i="55"/>
  <c r="B22" i="55"/>
  <c r="V21" i="55"/>
  <c r="T21" i="55"/>
  <c r="P21" i="55"/>
  <c r="X21" i="55" s="1"/>
  <c r="Z21" i="55" s="1"/>
  <c r="H21" i="55"/>
  <c r="F21" i="55"/>
  <c r="D21" i="55"/>
  <c r="B21" i="55"/>
  <c r="Z20" i="55"/>
  <c r="X20" i="55"/>
  <c r="L20" i="55"/>
  <c r="N20" i="55" s="1"/>
  <c r="B20" i="55"/>
  <c r="T19" i="55"/>
  <c r="P19" i="55"/>
  <c r="L19" i="55"/>
  <c r="H19" i="55"/>
  <c r="N19" i="55" s="1"/>
  <c r="F19" i="55"/>
  <c r="D19" i="55"/>
  <c r="B19" i="55"/>
  <c r="V18" i="55"/>
  <c r="T18" i="55"/>
  <c r="P18" i="55"/>
  <c r="X18" i="55" s="1"/>
  <c r="Z18" i="55" s="1"/>
  <c r="L18" i="55"/>
  <c r="N18" i="55" s="1"/>
  <c r="H18" i="55"/>
  <c r="F18" i="55"/>
  <c r="D18" i="55"/>
  <c r="T16" i="55"/>
  <c r="Z16" i="55" s="1"/>
  <c r="F16" i="55"/>
  <c r="D16" i="55"/>
  <c r="V14" i="55"/>
  <c r="T14" i="55"/>
  <c r="Z14" i="55" s="1"/>
  <c r="P14" i="55"/>
  <c r="X14" i="55" s="1"/>
  <c r="N14" i="55"/>
  <c r="L14" i="55"/>
  <c r="H14" i="55"/>
  <c r="F14" i="55"/>
  <c r="D14" i="55"/>
  <c r="T12" i="55"/>
  <c r="V24" i="55" s="1"/>
  <c r="P12" i="55"/>
  <c r="H12" i="55"/>
  <c r="J31" i="55" s="1"/>
  <c r="D12" i="55"/>
  <c r="F38" i="55" s="1"/>
  <c r="D6" i="55"/>
  <c r="D4" i="55"/>
  <c r="R31" i="54"/>
  <c r="J31" i="54"/>
  <c r="T29" i="54"/>
  <c r="P29" i="54"/>
  <c r="X29" i="54" s="1"/>
  <c r="Z29" i="54" s="1"/>
  <c r="J29" i="54"/>
  <c r="H29" i="54"/>
  <c r="D29" i="54"/>
  <c r="L29" i="54" s="1"/>
  <c r="X28" i="54"/>
  <c r="Z28" i="54" s="1"/>
  <c r="T28" i="54"/>
  <c r="R28" i="54"/>
  <c r="P28" i="54"/>
  <c r="J28" i="54"/>
  <c r="H28" i="54"/>
  <c r="D28" i="54"/>
  <c r="J26" i="54"/>
  <c r="Z24" i="54"/>
  <c r="X24" i="54"/>
  <c r="N24" i="54"/>
  <c r="L24" i="54"/>
  <c r="F24" i="54"/>
  <c r="R22" i="54"/>
  <c r="J22" i="54"/>
  <c r="Z20" i="54"/>
  <c r="T20" i="54"/>
  <c r="P20" i="54"/>
  <c r="X20" i="54" s="1"/>
  <c r="J20" i="54"/>
  <c r="H20" i="54"/>
  <c r="N20" i="54" s="1"/>
  <c r="D20" i="54"/>
  <c r="L20" i="54" s="1"/>
  <c r="Z18" i="54"/>
  <c r="X18" i="54"/>
  <c r="T18" i="54"/>
  <c r="R18" i="54"/>
  <c r="P18" i="54"/>
  <c r="J18" i="54"/>
  <c r="H18" i="54"/>
  <c r="D18" i="54"/>
  <c r="Z16" i="54"/>
  <c r="T16" i="54"/>
  <c r="T22" i="54" s="1"/>
  <c r="P16" i="54"/>
  <c r="J16" i="54"/>
  <c r="D16" i="54"/>
  <c r="D22" i="54" s="1"/>
  <c r="Z14" i="54"/>
  <c r="X14" i="54"/>
  <c r="T14" i="54"/>
  <c r="R14" i="54"/>
  <c r="P14" i="54"/>
  <c r="J14" i="54"/>
  <c r="H14" i="54"/>
  <c r="D14" i="54"/>
  <c r="Z12" i="54"/>
  <c r="T12" i="54"/>
  <c r="V31" i="54" s="1"/>
  <c r="P12" i="54"/>
  <c r="R24" i="54" s="1"/>
  <c r="N12" i="54"/>
  <c r="L12" i="54"/>
  <c r="H12" i="54"/>
  <c r="H16" i="54" s="1"/>
  <c r="D12" i="54"/>
  <c r="F31" i="54" s="1"/>
  <c r="D6" i="54"/>
  <c r="D4" i="54"/>
  <c r="B39" i="53"/>
  <c r="B38" i="53"/>
  <c r="T34" i="53"/>
  <c r="Z34" i="53" s="1"/>
  <c r="P34" i="53"/>
  <c r="H34" i="53"/>
  <c r="N34" i="53" s="1"/>
  <c r="D34" i="53"/>
  <c r="T33" i="53"/>
  <c r="Z33" i="53" s="1"/>
  <c r="P33" i="53"/>
  <c r="H33" i="53"/>
  <c r="D33" i="53"/>
  <c r="T29" i="53"/>
  <c r="Z29" i="53" s="1"/>
  <c r="P29" i="53"/>
  <c r="H29" i="53"/>
  <c r="D29" i="53"/>
  <c r="T25" i="53"/>
  <c r="Z25" i="53" s="1"/>
  <c r="P25" i="53"/>
  <c r="H25" i="53"/>
  <c r="D25" i="53"/>
  <c r="B25" i="53"/>
  <c r="T24" i="53"/>
  <c r="Z24" i="53" s="1"/>
  <c r="P24" i="53"/>
  <c r="H24" i="53"/>
  <c r="N24" i="53" s="1"/>
  <c r="D24" i="53"/>
  <c r="T22" i="53"/>
  <c r="Z22" i="53" s="1"/>
  <c r="P22" i="53"/>
  <c r="H22" i="53"/>
  <c r="N22" i="53" s="1"/>
  <c r="D22" i="53"/>
  <c r="B22" i="53"/>
  <c r="T21" i="53"/>
  <c r="P21" i="53"/>
  <c r="H21" i="53"/>
  <c r="N21" i="53" s="1"/>
  <c r="D21" i="53"/>
  <c r="B21" i="53"/>
  <c r="T20" i="53"/>
  <c r="Z20" i="53" s="1"/>
  <c r="P20" i="53"/>
  <c r="H20" i="53"/>
  <c r="N20" i="53" s="1"/>
  <c r="D20" i="53"/>
  <c r="T16" i="53"/>
  <c r="Z16" i="53" s="1"/>
  <c r="P16" i="53"/>
  <c r="H16" i="53"/>
  <c r="N16" i="53" s="1"/>
  <c r="D16" i="53"/>
  <c r="B16" i="53"/>
  <c r="T15" i="53"/>
  <c r="Z15" i="53" s="1"/>
  <c r="P15" i="53"/>
  <c r="H15" i="53"/>
  <c r="D15" i="53"/>
  <c r="T13" i="53"/>
  <c r="Z13" i="53" s="1"/>
  <c r="P13" i="53"/>
  <c r="H13" i="53"/>
  <c r="N13" i="53" s="1"/>
  <c r="D13" i="53"/>
  <c r="B13" i="53"/>
  <c r="T12" i="53"/>
  <c r="V36" i="53" s="1"/>
  <c r="P12" i="53"/>
  <c r="R21" i="53" s="1"/>
  <c r="H12" i="53"/>
  <c r="J20" i="53" s="1"/>
  <c r="D12" i="53"/>
  <c r="F18" i="53" s="1"/>
  <c r="D5" i="53"/>
  <c r="D4" i="53"/>
  <c r="B39" i="52"/>
  <c r="B38" i="52"/>
  <c r="T34" i="52"/>
  <c r="Z34" i="52" s="1"/>
  <c r="P34" i="52"/>
  <c r="H34" i="52"/>
  <c r="N34" i="52" s="1"/>
  <c r="D34" i="52"/>
  <c r="T33" i="52"/>
  <c r="Z33" i="52" s="1"/>
  <c r="P33" i="52"/>
  <c r="H33" i="52"/>
  <c r="N33" i="52" s="1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P24" i="52"/>
  <c r="H24" i="52"/>
  <c r="N24" i="52" s="1"/>
  <c r="D24" i="52"/>
  <c r="T22" i="52"/>
  <c r="Z22" i="52" s="1"/>
  <c r="P22" i="52"/>
  <c r="H22" i="52"/>
  <c r="N22" i="52" s="1"/>
  <c r="D22" i="52"/>
  <c r="B22" i="52"/>
  <c r="T21" i="52"/>
  <c r="Z21" i="52" s="1"/>
  <c r="P21" i="52"/>
  <c r="H21" i="52"/>
  <c r="N21" i="52" s="1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Z15" i="52" s="1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18" i="52" s="1"/>
  <c r="P12" i="52"/>
  <c r="R27" i="52" s="1"/>
  <c r="H12" i="52"/>
  <c r="D12" i="52"/>
  <c r="D5" i="52"/>
  <c r="D4" i="52"/>
  <c r="X81" i="51"/>
  <c r="Z81" i="51" s="1"/>
  <c r="N81" i="51"/>
  <c r="L81" i="51"/>
  <c r="P77" i="51"/>
  <c r="X77" i="51" s="1"/>
  <c r="Z77" i="51" s="1"/>
  <c r="D77" i="51"/>
  <c r="L77" i="51" s="1"/>
  <c r="N77" i="51" s="1"/>
  <c r="B77" i="51"/>
  <c r="Z76" i="51"/>
  <c r="X76" i="51"/>
  <c r="V76" i="51"/>
  <c r="P76" i="51"/>
  <c r="P74" i="51" s="1"/>
  <c r="X74" i="51" s="1"/>
  <c r="N76" i="51"/>
  <c r="D76" i="51"/>
  <c r="L76" i="51" s="1"/>
  <c r="B76" i="51"/>
  <c r="Z75" i="51"/>
  <c r="X75" i="51"/>
  <c r="V75" i="51"/>
  <c r="P75" i="51"/>
  <c r="N75" i="51"/>
  <c r="L75" i="51"/>
  <c r="J75" i="51"/>
  <c r="D75" i="51"/>
  <c r="B75" i="51"/>
  <c r="T74" i="51"/>
  <c r="L74" i="51"/>
  <c r="N74" i="51" s="1"/>
  <c r="H74" i="51"/>
  <c r="D74" i="51"/>
  <c r="Z72" i="51"/>
  <c r="X72" i="51"/>
  <c r="N72" i="51"/>
  <c r="L72" i="51"/>
  <c r="B72" i="51"/>
  <c r="V71" i="51"/>
  <c r="T71" i="51"/>
  <c r="P71" i="51"/>
  <c r="X71" i="51" s="1"/>
  <c r="L71" i="51"/>
  <c r="N71" i="51" s="1"/>
  <c r="H71" i="51"/>
  <c r="D71" i="51"/>
  <c r="B71" i="51"/>
  <c r="Z70" i="51"/>
  <c r="X70" i="51"/>
  <c r="V70" i="51"/>
  <c r="L70" i="51"/>
  <c r="N70" i="51" s="1"/>
  <c r="B70" i="51"/>
  <c r="X69" i="51"/>
  <c r="Z69" i="51" s="1"/>
  <c r="N69" i="51"/>
  <c r="L69" i="51"/>
  <c r="B69" i="51"/>
  <c r="T68" i="51"/>
  <c r="P68" i="51"/>
  <c r="J68" i="51"/>
  <c r="H68" i="51"/>
  <c r="D68" i="51"/>
  <c r="L68" i="51" s="1"/>
  <c r="N68" i="51" s="1"/>
  <c r="B68" i="51"/>
  <c r="X67" i="51"/>
  <c r="Z67" i="51" s="1"/>
  <c r="L67" i="51"/>
  <c r="N67" i="51" s="1"/>
  <c r="J67" i="51"/>
  <c r="B67" i="51"/>
  <c r="V66" i="51"/>
  <c r="T66" i="51"/>
  <c r="P66" i="51"/>
  <c r="X66" i="51" s="1"/>
  <c r="Z66" i="51" s="1"/>
  <c r="H66" i="51"/>
  <c r="D66" i="51"/>
  <c r="B66" i="51"/>
  <c r="Z65" i="51"/>
  <c r="X65" i="51"/>
  <c r="L65" i="51"/>
  <c r="N65" i="51" s="1"/>
  <c r="B65" i="51"/>
  <c r="T64" i="51"/>
  <c r="P64" i="51"/>
  <c r="L64" i="51"/>
  <c r="H64" i="51"/>
  <c r="D64" i="51"/>
  <c r="B64" i="51"/>
  <c r="X63" i="51"/>
  <c r="Z63" i="51" s="1"/>
  <c r="V63" i="51"/>
  <c r="L63" i="51"/>
  <c r="N63" i="51" s="1"/>
  <c r="B63" i="51"/>
  <c r="X62" i="51"/>
  <c r="T62" i="51"/>
  <c r="P62" i="51"/>
  <c r="H62" i="51"/>
  <c r="D62" i="51"/>
  <c r="B62" i="51"/>
  <c r="X61" i="51"/>
  <c r="Z61" i="51" s="1"/>
  <c r="N61" i="51"/>
  <c r="L61" i="51"/>
  <c r="B61" i="51"/>
  <c r="T60" i="51"/>
  <c r="P60" i="51"/>
  <c r="J60" i="51"/>
  <c r="H60" i="51"/>
  <c r="D60" i="51"/>
  <c r="L60" i="51" s="1"/>
  <c r="N60" i="51" s="1"/>
  <c r="B60" i="51"/>
  <c r="Z59" i="51"/>
  <c r="X59" i="51"/>
  <c r="R59" i="51"/>
  <c r="N59" i="51"/>
  <c r="L59" i="51"/>
  <c r="J59" i="51"/>
  <c r="B59" i="51"/>
  <c r="Z58" i="51"/>
  <c r="V58" i="51"/>
  <c r="T58" i="51"/>
  <c r="P58" i="51"/>
  <c r="X58" i="51" s="1"/>
  <c r="H58" i="51"/>
  <c r="N58" i="51" s="1"/>
  <c r="D58" i="51"/>
  <c r="B58" i="51"/>
  <c r="Z57" i="51"/>
  <c r="X57" i="51"/>
  <c r="L57" i="51"/>
  <c r="N57" i="51" s="1"/>
  <c r="B57" i="51"/>
  <c r="T56" i="51"/>
  <c r="R56" i="51"/>
  <c r="P56" i="51"/>
  <c r="L56" i="51"/>
  <c r="H56" i="51"/>
  <c r="D56" i="51"/>
  <c r="B56" i="51"/>
  <c r="Z55" i="51"/>
  <c r="X55" i="51"/>
  <c r="V55" i="51"/>
  <c r="N55" i="51"/>
  <c r="L55" i="51"/>
  <c r="B55" i="51"/>
  <c r="Z54" i="51"/>
  <c r="X54" i="51"/>
  <c r="N54" i="51"/>
  <c r="L54" i="51"/>
  <c r="J54" i="51"/>
  <c r="B54" i="51"/>
  <c r="Z53" i="51"/>
  <c r="X53" i="51"/>
  <c r="L53" i="51"/>
  <c r="N53" i="51" s="1"/>
  <c r="B53" i="51"/>
  <c r="X52" i="51"/>
  <c r="Z52" i="51" s="1"/>
  <c r="N52" i="51"/>
  <c r="L52" i="51"/>
  <c r="B52" i="51"/>
  <c r="Z51" i="51"/>
  <c r="X51" i="51"/>
  <c r="R51" i="51"/>
  <c r="N51" i="51"/>
  <c r="L51" i="51"/>
  <c r="J51" i="51"/>
  <c r="B51" i="51"/>
  <c r="Z50" i="51"/>
  <c r="X50" i="51"/>
  <c r="V50" i="51"/>
  <c r="N50" i="51"/>
  <c r="L50" i="51"/>
  <c r="B50" i="51"/>
  <c r="X49" i="51"/>
  <c r="Z49" i="51" s="1"/>
  <c r="N49" i="51"/>
  <c r="L49" i="51"/>
  <c r="B49" i="51"/>
  <c r="Z48" i="51"/>
  <c r="X48" i="51"/>
  <c r="N48" i="51"/>
  <c r="L48" i="51"/>
  <c r="B48" i="51"/>
  <c r="Z47" i="51"/>
  <c r="X47" i="51"/>
  <c r="V47" i="51"/>
  <c r="L47" i="51"/>
  <c r="N47" i="51" s="1"/>
  <c r="B47" i="51"/>
  <c r="Z46" i="51"/>
  <c r="X46" i="51"/>
  <c r="N46" i="51"/>
  <c r="L46" i="51"/>
  <c r="J46" i="51"/>
  <c r="B46" i="51"/>
  <c r="T45" i="51"/>
  <c r="P45" i="51"/>
  <c r="X45" i="51" s="1"/>
  <c r="Z45" i="51" s="1"/>
  <c r="J45" i="51"/>
  <c r="H45" i="51"/>
  <c r="D45" i="51"/>
  <c r="L45" i="51" s="1"/>
  <c r="N45" i="51" s="1"/>
  <c r="B45" i="51"/>
  <c r="Z44" i="51"/>
  <c r="X44" i="51"/>
  <c r="R44" i="51"/>
  <c r="L44" i="51"/>
  <c r="N44" i="51" s="1"/>
  <c r="B44" i="51"/>
  <c r="Z43" i="51"/>
  <c r="X43" i="51"/>
  <c r="V43" i="51"/>
  <c r="L43" i="51"/>
  <c r="N43" i="51" s="1"/>
  <c r="B43" i="51"/>
  <c r="X42" i="51"/>
  <c r="Z42" i="51" s="1"/>
  <c r="N42" i="51"/>
  <c r="L42" i="51"/>
  <c r="J42" i="51"/>
  <c r="B42" i="51"/>
  <c r="Z41" i="51"/>
  <c r="X41" i="51"/>
  <c r="N41" i="51"/>
  <c r="L41" i="51"/>
  <c r="B41" i="51"/>
  <c r="Z40" i="51"/>
  <c r="X40" i="51"/>
  <c r="N40" i="51"/>
  <c r="L40" i="51"/>
  <c r="B40" i="51"/>
  <c r="X39" i="51"/>
  <c r="Z39" i="51" s="1"/>
  <c r="N39" i="51"/>
  <c r="L39" i="51"/>
  <c r="J39" i="51"/>
  <c r="B39" i="51"/>
  <c r="Z38" i="51"/>
  <c r="X38" i="51"/>
  <c r="V38" i="51"/>
  <c r="L38" i="51"/>
  <c r="N38" i="51" s="1"/>
  <c r="B38" i="51"/>
  <c r="X37" i="51"/>
  <c r="Z37" i="51" s="1"/>
  <c r="N37" i="51"/>
  <c r="L37" i="51"/>
  <c r="B37" i="51"/>
  <c r="Z36" i="51"/>
  <c r="X36" i="51"/>
  <c r="L36" i="51"/>
  <c r="N36" i="51" s="1"/>
  <c r="B36" i="51"/>
  <c r="Z35" i="51"/>
  <c r="X35" i="51"/>
  <c r="V35" i="51"/>
  <c r="L35" i="51"/>
  <c r="N35" i="51" s="1"/>
  <c r="B35" i="51"/>
  <c r="X34" i="51"/>
  <c r="T34" i="51"/>
  <c r="Z34" i="51" s="1"/>
  <c r="P34" i="51"/>
  <c r="H34" i="51"/>
  <c r="D34" i="51"/>
  <c r="L34" i="51" s="1"/>
  <c r="N34" i="51" s="1"/>
  <c r="B34" i="51"/>
  <c r="X33" i="51"/>
  <c r="T33" i="51"/>
  <c r="P33" i="51"/>
  <c r="H33" i="51"/>
  <c r="D33" i="51"/>
  <c r="Z29" i="51"/>
  <c r="X29" i="51"/>
  <c r="N29" i="51"/>
  <c r="L29" i="51"/>
  <c r="B29" i="51"/>
  <c r="Z28" i="51"/>
  <c r="X28" i="51"/>
  <c r="N28" i="51"/>
  <c r="L28" i="51"/>
  <c r="B28" i="51"/>
  <c r="Z27" i="51"/>
  <c r="X27" i="51"/>
  <c r="V27" i="51"/>
  <c r="N27" i="51"/>
  <c r="L27" i="51"/>
  <c r="B27" i="51"/>
  <c r="Z26" i="51"/>
  <c r="X26" i="51"/>
  <c r="N26" i="51"/>
  <c r="L26" i="51"/>
  <c r="J26" i="51"/>
  <c r="B26" i="51"/>
  <c r="Z25" i="51"/>
  <c r="X25" i="51"/>
  <c r="N25" i="51"/>
  <c r="L25" i="51"/>
  <c r="B25" i="51"/>
  <c r="Z24" i="51"/>
  <c r="X24" i="51"/>
  <c r="V24" i="51"/>
  <c r="N24" i="51"/>
  <c r="L24" i="51"/>
  <c r="B24" i="51"/>
  <c r="Z23" i="51"/>
  <c r="X23" i="51"/>
  <c r="N23" i="51"/>
  <c r="L23" i="51"/>
  <c r="J23" i="51"/>
  <c r="B23" i="51"/>
  <c r="Z22" i="51"/>
  <c r="X22" i="51"/>
  <c r="V22" i="51"/>
  <c r="N22" i="51"/>
  <c r="L22" i="51"/>
  <c r="B22" i="51"/>
  <c r="Z21" i="51"/>
  <c r="X21" i="51"/>
  <c r="N21" i="51"/>
  <c r="L21" i="51"/>
  <c r="B21" i="51"/>
  <c r="Z20" i="51"/>
  <c r="X20" i="51"/>
  <c r="N20" i="51"/>
  <c r="L20" i="51"/>
  <c r="B20" i="51"/>
  <c r="V19" i="51"/>
  <c r="T19" i="51"/>
  <c r="Z19" i="51" s="1"/>
  <c r="P19" i="51"/>
  <c r="X19" i="51" s="1"/>
  <c r="L19" i="51"/>
  <c r="H19" i="51"/>
  <c r="D19" i="51"/>
  <c r="Z17" i="51"/>
  <c r="X17" i="51"/>
  <c r="P17" i="51"/>
  <c r="N17" i="51"/>
  <c r="D17" i="51"/>
  <c r="L17" i="51" s="1"/>
  <c r="B17" i="51"/>
  <c r="Z16" i="51"/>
  <c r="P16" i="51"/>
  <c r="X16" i="51" s="1"/>
  <c r="N16" i="51"/>
  <c r="L16" i="51"/>
  <c r="D16" i="51"/>
  <c r="B16" i="51"/>
  <c r="Z15" i="51"/>
  <c r="X15" i="51"/>
  <c r="P15" i="51"/>
  <c r="N15" i="51"/>
  <c r="D15" i="51"/>
  <c r="L15" i="51" s="1"/>
  <c r="B15" i="51"/>
  <c r="X14" i="51"/>
  <c r="Z14" i="51" s="1"/>
  <c r="P14" i="51"/>
  <c r="L14" i="51"/>
  <c r="N14" i="51" s="1"/>
  <c r="D14" i="51"/>
  <c r="B14" i="51"/>
  <c r="P13" i="51"/>
  <c r="X13" i="51" s="1"/>
  <c r="Z13" i="51" s="1"/>
  <c r="D13" i="51"/>
  <c r="L13" i="51" s="1"/>
  <c r="N13" i="51" s="1"/>
  <c r="B13" i="51"/>
  <c r="T12" i="51"/>
  <c r="P12" i="51"/>
  <c r="H12" i="51"/>
  <c r="J71" i="51" s="1"/>
  <c r="D4" i="51"/>
  <c r="B39" i="50"/>
  <c r="B38" i="50"/>
  <c r="T34" i="50"/>
  <c r="Z34" i="50" s="1"/>
  <c r="P34" i="50"/>
  <c r="H34" i="50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N21" i="50" s="1"/>
  <c r="D21" i="50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Z15" i="50" s="1"/>
  <c r="P15" i="50"/>
  <c r="H15" i="50"/>
  <c r="N15" i="50" s="1"/>
  <c r="D15" i="50"/>
  <c r="T13" i="50"/>
  <c r="P13" i="50"/>
  <c r="H13" i="50"/>
  <c r="N13" i="50" s="1"/>
  <c r="D13" i="50"/>
  <c r="B13" i="50"/>
  <c r="T12" i="50"/>
  <c r="P12" i="50"/>
  <c r="R27" i="50" s="1"/>
  <c r="H12" i="50"/>
  <c r="J21" i="50" s="1"/>
  <c r="D12" i="50"/>
  <c r="D5" i="50"/>
  <c r="D4" i="50"/>
  <c r="B39" i="49"/>
  <c r="B38" i="49"/>
  <c r="T34" i="49"/>
  <c r="P34" i="49"/>
  <c r="H34" i="49"/>
  <c r="N34" i="49" s="1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P22" i="49"/>
  <c r="H22" i="49"/>
  <c r="N22" i="49" s="1"/>
  <c r="D22" i="49"/>
  <c r="B22" i="49"/>
  <c r="T21" i="49"/>
  <c r="Z21" i="49" s="1"/>
  <c r="P21" i="49"/>
  <c r="H21" i="49"/>
  <c r="D21" i="49"/>
  <c r="B21" i="49"/>
  <c r="T20" i="49"/>
  <c r="Z20" i="49" s="1"/>
  <c r="P20" i="49"/>
  <c r="H20" i="49"/>
  <c r="D20" i="49"/>
  <c r="T16" i="49"/>
  <c r="Z16" i="49" s="1"/>
  <c r="P16" i="49"/>
  <c r="H16" i="49"/>
  <c r="D16" i="49"/>
  <c r="B16" i="49"/>
  <c r="T15" i="49"/>
  <c r="Z15" i="49" s="1"/>
  <c r="P15" i="49"/>
  <c r="H15" i="49"/>
  <c r="N15" i="49" s="1"/>
  <c r="D15" i="49"/>
  <c r="T13" i="49"/>
  <c r="Z13" i="49" s="1"/>
  <c r="P13" i="49"/>
  <c r="H13" i="49"/>
  <c r="N13" i="49" s="1"/>
  <c r="D13" i="49"/>
  <c r="B13" i="49"/>
  <c r="T12" i="49"/>
  <c r="P12" i="49"/>
  <c r="R22" i="49" s="1"/>
  <c r="H12" i="49"/>
  <c r="J24" i="49" s="1"/>
  <c r="D12" i="49"/>
  <c r="F24" i="49" s="1"/>
  <c r="D5" i="49"/>
  <c r="D4" i="49"/>
  <c r="Z77" i="48"/>
  <c r="X77" i="48"/>
  <c r="L77" i="48"/>
  <c r="N77" i="48" s="1"/>
  <c r="X73" i="48"/>
  <c r="Z73" i="48" s="1"/>
  <c r="P73" i="48"/>
  <c r="P72" i="48" s="1"/>
  <c r="D73" i="48"/>
  <c r="B73" i="48"/>
  <c r="X72" i="48"/>
  <c r="Z72" i="48" s="1"/>
  <c r="T72" i="48"/>
  <c r="H72" i="48"/>
  <c r="Z70" i="48"/>
  <c r="X70" i="48"/>
  <c r="V70" i="48"/>
  <c r="N70" i="48"/>
  <c r="L70" i="48"/>
  <c r="B70" i="48"/>
  <c r="X69" i="48"/>
  <c r="T69" i="48"/>
  <c r="Z69" i="48" s="1"/>
  <c r="R69" i="48"/>
  <c r="P69" i="48"/>
  <c r="H69" i="48"/>
  <c r="D69" i="48"/>
  <c r="B69" i="48"/>
  <c r="Z68" i="48"/>
  <c r="X68" i="48"/>
  <c r="N68" i="48"/>
  <c r="L68" i="48"/>
  <c r="B68" i="48"/>
  <c r="T67" i="48"/>
  <c r="P67" i="48"/>
  <c r="N67" i="48"/>
  <c r="H67" i="48"/>
  <c r="D67" i="48"/>
  <c r="L67" i="48" s="1"/>
  <c r="B67" i="48"/>
  <c r="Z66" i="48"/>
  <c r="X66" i="48"/>
  <c r="N66" i="48"/>
  <c r="L66" i="48"/>
  <c r="J66" i="48"/>
  <c r="B66" i="48"/>
  <c r="Z65" i="48"/>
  <c r="X65" i="48"/>
  <c r="N65" i="48"/>
  <c r="L65" i="48"/>
  <c r="B65" i="48"/>
  <c r="Z64" i="48"/>
  <c r="X64" i="48"/>
  <c r="N64" i="48"/>
  <c r="L64" i="48"/>
  <c r="F64" i="48"/>
  <c r="B64" i="48"/>
  <c r="T63" i="48"/>
  <c r="P63" i="48"/>
  <c r="H63" i="48"/>
  <c r="D63" i="48"/>
  <c r="L63" i="48" s="1"/>
  <c r="N63" i="48" s="1"/>
  <c r="B63" i="48"/>
  <c r="X62" i="48"/>
  <c r="Z62" i="48" s="1"/>
  <c r="N62" i="48"/>
  <c r="L62" i="48"/>
  <c r="J62" i="48"/>
  <c r="B62" i="48"/>
  <c r="Z61" i="48"/>
  <c r="T61" i="48"/>
  <c r="P61" i="48"/>
  <c r="X61" i="48" s="1"/>
  <c r="J61" i="48"/>
  <c r="H61" i="48"/>
  <c r="D61" i="48"/>
  <c r="L61" i="48" s="1"/>
  <c r="B61" i="48"/>
  <c r="Z60" i="48"/>
  <c r="X60" i="48"/>
  <c r="R60" i="48"/>
  <c r="N60" i="48"/>
  <c r="L60" i="48"/>
  <c r="B60" i="48"/>
  <c r="X59" i="48"/>
  <c r="Z59" i="48" s="1"/>
  <c r="V59" i="48"/>
  <c r="L59" i="48"/>
  <c r="N59" i="48" s="1"/>
  <c r="B59" i="48"/>
  <c r="X58" i="48"/>
  <c r="Z58" i="48" s="1"/>
  <c r="N58" i="48"/>
  <c r="L58" i="48"/>
  <c r="J58" i="48"/>
  <c r="B58" i="48"/>
  <c r="T57" i="48"/>
  <c r="P57" i="48"/>
  <c r="X57" i="48" s="1"/>
  <c r="Z57" i="48" s="1"/>
  <c r="J57" i="48"/>
  <c r="H57" i="48"/>
  <c r="N57" i="48" s="1"/>
  <c r="D57" i="48"/>
  <c r="L57" i="48" s="1"/>
  <c r="B57" i="48"/>
  <c r="Z56" i="48"/>
  <c r="X56" i="48"/>
  <c r="R56" i="48"/>
  <c r="N56" i="48"/>
  <c r="L56" i="48"/>
  <c r="B56" i="48"/>
  <c r="V55" i="48"/>
  <c r="T55" i="48"/>
  <c r="Z55" i="48" s="1"/>
  <c r="P55" i="48"/>
  <c r="X55" i="48" s="1"/>
  <c r="L55" i="48"/>
  <c r="H55" i="48"/>
  <c r="D55" i="48"/>
  <c r="B55" i="48"/>
  <c r="Z54" i="48"/>
  <c r="X54" i="48"/>
  <c r="V54" i="48"/>
  <c r="L54" i="48"/>
  <c r="N54" i="48" s="1"/>
  <c r="B54" i="48"/>
  <c r="X53" i="48"/>
  <c r="T53" i="48"/>
  <c r="R53" i="48"/>
  <c r="P53" i="48"/>
  <c r="H53" i="48"/>
  <c r="D53" i="48"/>
  <c r="B53" i="48"/>
  <c r="Z52" i="48"/>
  <c r="X52" i="48"/>
  <c r="N52" i="48"/>
  <c r="L52" i="48"/>
  <c r="B52" i="48"/>
  <c r="T51" i="48"/>
  <c r="P51" i="48"/>
  <c r="N51" i="48"/>
  <c r="H51" i="48"/>
  <c r="D51" i="48"/>
  <c r="L51" i="48" s="1"/>
  <c r="B51" i="48"/>
  <c r="X50" i="48"/>
  <c r="Z50" i="48" s="1"/>
  <c r="N50" i="48"/>
  <c r="L50" i="48"/>
  <c r="J50" i="48"/>
  <c r="B50" i="48"/>
  <c r="Z49" i="48"/>
  <c r="X49" i="48"/>
  <c r="N49" i="48"/>
  <c r="L49" i="48"/>
  <c r="B49" i="48"/>
  <c r="T48" i="48"/>
  <c r="R48" i="48"/>
  <c r="P48" i="48"/>
  <c r="X48" i="48" s="1"/>
  <c r="Z48" i="48" s="1"/>
  <c r="L48" i="48"/>
  <c r="N48" i="48" s="1"/>
  <c r="H48" i="48"/>
  <c r="D48" i="48"/>
  <c r="B48" i="48"/>
  <c r="X47" i="48"/>
  <c r="Z47" i="48" s="1"/>
  <c r="V47" i="48"/>
  <c r="L47" i="48"/>
  <c r="N47" i="48" s="1"/>
  <c r="B47" i="48"/>
  <c r="X46" i="48"/>
  <c r="Z46" i="48" s="1"/>
  <c r="T46" i="48"/>
  <c r="P46" i="48"/>
  <c r="N46" i="48"/>
  <c r="H46" i="48"/>
  <c r="L46" i="48" s="1"/>
  <c r="D46" i="48"/>
  <c r="B46" i="48"/>
  <c r="X45" i="48"/>
  <c r="Z45" i="48" s="1"/>
  <c r="N45" i="48"/>
  <c r="L45" i="48"/>
  <c r="B45" i="48"/>
  <c r="Z44" i="48"/>
  <c r="T44" i="48"/>
  <c r="X44" i="48" s="1"/>
  <c r="P44" i="48"/>
  <c r="J44" i="48"/>
  <c r="H44" i="48"/>
  <c r="D44" i="48"/>
  <c r="L44" i="48" s="1"/>
  <c r="N44" i="48" s="1"/>
  <c r="B44" i="48"/>
  <c r="X43" i="48"/>
  <c r="Z43" i="48" s="1"/>
  <c r="R43" i="48"/>
  <c r="L43" i="48"/>
  <c r="N43" i="48" s="1"/>
  <c r="J43" i="48"/>
  <c r="B43" i="48"/>
  <c r="V42" i="48"/>
  <c r="T42" i="48"/>
  <c r="P42" i="48"/>
  <c r="X42" i="48" s="1"/>
  <c r="Z42" i="48" s="1"/>
  <c r="H42" i="48"/>
  <c r="F42" i="48"/>
  <c r="D42" i="48"/>
  <c r="L42" i="48" s="1"/>
  <c r="N42" i="48" s="1"/>
  <c r="B42" i="48"/>
  <c r="Z41" i="48"/>
  <c r="X41" i="48"/>
  <c r="N41" i="48"/>
  <c r="L41" i="48"/>
  <c r="B41" i="48"/>
  <c r="Z40" i="48"/>
  <c r="X40" i="48"/>
  <c r="N40" i="48"/>
  <c r="L40" i="48"/>
  <c r="B40" i="48"/>
  <c r="X39" i="48"/>
  <c r="Z39" i="48" s="1"/>
  <c r="R39" i="48"/>
  <c r="L39" i="48"/>
  <c r="N39" i="48" s="1"/>
  <c r="J39" i="48"/>
  <c r="B39" i="48"/>
  <c r="Z38" i="48"/>
  <c r="X38" i="48"/>
  <c r="V38" i="48"/>
  <c r="N38" i="48"/>
  <c r="L38" i="48"/>
  <c r="B38" i="48"/>
  <c r="Z37" i="48"/>
  <c r="X37" i="48"/>
  <c r="N37" i="48"/>
  <c r="L37" i="48"/>
  <c r="B37" i="48"/>
  <c r="Z36" i="48"/>
  <c r="X36" i="48"/>
  <c r="R36" i="48"/>
  <c r="N36" i="48"/>
  <c r="L36" i="48"/>
  <c r="B36" i="48"/>
  <c r="X35" i="48"/>
  <c r="Z35" i="48" s="1"/>
  <c r="V35" i="48"/>
  <c r="L35" i="48"/>
  <c r="N35" i="48" s="1"/>
  <c r="B35" i="48"/>
  <c r="Z34" i="48"/>
  <c r="X34" i="48"/>
  <c r="N34" i="48"/>
  <c r="L34" i="48"/>
  <c r="J34" i="48"/>
  <c r="B34" i="48"/>
  <c r="Z33" i="48"/>
  <c r="X33" i="48"/>
  <c r="R33" i="48"/>
  <c r="L33" i="48"/>
  <c r="N33" i="48" s="1"/>
  <c r="B33" i="48"/>
  <c r="Z32" i="48"/>
  <c r="X32" i="48"/>
  <c r="N32" i="48"/>
  <c r="L32" i="48"/>
  <c r="F32" i="48"/>
  <c r="B32" i="48"/>
  <c r="T31" i="48"/>
  <c r="P31" i="48"/>
  <c r="H31" i="48"/>
  <c r="D31" i="48"/>
  <c r="L31" i="48" s="1"/>
  <c r="N31" i="48" s="1"/>
  <c r="B31" i="48"/>
  <c r="Z30" i="48"/>
  <c r="X30" i="48"/>
  <c r="N30" i="48"/>
  <c r="L30" i="48"/>
  <c r="J30" i="48"/>
  <c r="B30" i="48"/>
  <c r="Z29" i="48"/>
  <c r="X29" i="48"/>
  <c r="R29" i="48"/>
  <c r="L29" i="48"/>
  <c r="N29" i="48" s="1"/>
  <c r="B29" i="48"/>
  <c r="Z28" i="48"/>
  <c r="X28" i="48"/>
  <c r="N28" i="48"/>
  <c r="L28" i="48"/>
  <c r="B28" i="48"/>
  <c r="Z27" i="48"/>
  <c r="X27" i="48"/>
  <c r="R27" i="48"/>
  <c r="N27" i="48"/>
  <c r="L27" i="48"/>
  <c r="J27" i="48"/>
  <c r="B27" i="48"/>
  <c r="Z26" i="48"/>
  <c r="X26" i="48"/>
  <c r="V26" i="48"/>
  <c r="N26" i="48"/>
  <c r="L26" i="48"/>
  <c r="B26" i="48"/>
  <c r="X25" i="48"/>
  <c r="Z25" i="48" s="1"/>
  <c r="R25" i="48"/>
  <c r="N25" i="48"/>
  <c r="L25" i="48"/>
  <c r="B25" i="48"/>
  <c r="Z24" i="48"/>
  <c r="X24" i="48"/>
  <c r="R24" i="48"/>
  <c r="N24" i="48"/>
  <c r="L24" i="48"/>
  <c r="B24" i="48"/>
  <c r="X23" i="48"/>
  <c r="Z23" i="48" s="1"/>
  <c r="V23" i="48"/>
  <c r="L23" i="48"/>
  <c r="N23" i="48" s="1"/>
  <c r="B23" i="48"/>
  <c r="X22" i="48"/>
  <c r="Z22" i="48" s="1"/>
  <c r="N22" i="48"/>
  <c r="L22" i="48"/>
  <c r="J22" i="48"/>
  <c r="B22" i="48"/>
  <c r="Z21" i="48"/>
  <c r="X21" i="48"/>
  <c r="R21" i="48"/>
  <c r="L21" i="48"/>
  <c r="N21" i="48" s="1"/>
  <c r="B21" i="48"/>
  <c r="T20" i="48"/>
  <c r="R20" i="48"/>
  <c r="P20" i="48"/>
  <c r="X20" i="48" s="1"/>
  <c r="Z20" i="48" s="1"/>
  <c r="L20" i="48"/>
  <c r="N20" i="48" s="1"/>
  <c r="H20" i="48"/>
  <c r="D20" i="48"/>
  <c r="B20" i="48"/>
  <c r="V19" i="48"/>
  <c r="T19" i="48"/>
  <c r="Z19" i="48" s="1"/>
  <c r="P19" i="48"/>
  <c r="X19" i="48" s="1"/>
  <c r="L19" i="48"/>
  <c r="H19" i="48"/>
  <c r="D19" i="48"/>
  <c r="T17" i="48"/>
  <c r="H17" i="48"/>
  <c r="H75" i="48" s="1"/>
  <c r="V15" i="48"/>
  <c r="T15" i="48"/>
  <c r="Z15" i="48" s="1"/>
  <c r="P15" i="48"/>
  <c r="P17" i="48" s="1"/>
  <c r="L15" i="48"/>
  <c r="H15" i="48"/>
  <c r="N15" i="48" s="1"/>
  <c r="D15" i="48"/>
  <c r="X13" i="48"/>
  <c r="Z13" i="48" s="1"/>
  <c r="P13" i="48"/>
  <c r="D13" i="48"/>
  <c r="L13" i="48" s="1"/>
  <c r="N13" i="48" s="1"/>
  <c r="B13" i="48"/>
  <c r="T12" i="48"/>
  <c r="P12" i="48"/>
  <c r="R70" i="48" s="1"/>
  <c r="H12" i="48"/>
  <c r="J77" i="48" s="1"/>
  <c r="D12" i="48"/>
  <c r="F59" i="48" s="1"/>
  <c r="D4" i="48"/>
  <c r="B39" i="47"/>
  <c r="B38" i="47"/>
  <c r="T34" i="47"/>
  <c r="Z34" i="47" s="1"/>
  <c r="P34" i="47"/>
  <c r="H34" i="47"/>
  <c r="N34" i="47" s="1"/>
  <c r="D34" i="47"/>
  <c r="T33" i="47"/>
  <c r="Z33" i="47" s="1"/>
  <c r="P33" i="47"/>
  <c r="H33" i="47"/>
  <c r="D33" i="47"/>
  <c r="T29" i="47"/>
  <c r="Z29" i="47" s="1"/>
  <c r="P29" i="47"/>
  <c r="H29" i="47"/>
  <c r="D29" i="47"/>
  <c r="T25" i="47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Z22" i="47" s="1"/>
  <c r="P22" i="47"/>
  <c r="H22" i="47"/>
  <c r="N22" i="47" s="1"/>
  <c r="D22" i="47"/>
  <c r="B22" i="47"/>
  <c r="T21" i="47"/>
  <c r="Z21" i="47" s="1"/>
  <c r="P21" i="47"/>
  <c r="H21" i="47"/>
  <c r="D21" i="47"/>
  <c r="B21" i="47"/>
  <c r="T20" i="47"/>
  <c r="Z20" i="47" s="1"/>
  <c r="P20" i="47"/>
  <c r="H20" i="47"/>
  <c r="N20" i="47" s="1"/>
  <c r="D20" i="47"/>
  <c r="T16" i="47"/>
  <c r="Z16" i="47" s="1"/>
  <c r="P16" i="47"/>
  <c r="H16" i="47"/>
  <c r="N16" i="47" s="1"/>
  <c r="D16" i="47"/>
  <c r="B16" i="47"/>
  <c r="T15" i="47"/>
  <c r="Z15" i="47" s="1"/>
  <c r="P15" i="47"/>
  <c r="H15" i="47"/>
  <c r="N15" i="47" s="1"/>
  <c r="D15" i="47"/>
  <c r="T13" i="47"/>
  <c r="Z13" i="47" s="1"/>
  <c r="P13" i="47"/>
  <c r="H13" i="47"/>
  <c r="N13" i="47" s="1"/>
  <c r="D13" i="47"/>
  <c r="B13" i="47"/>
  <c r="T12" i="47"/>
  <c r="P12" i="47"/>
  <c r="R21" i="47" s="1"/>
  <c r="H12" i="47"/>
  <c r="D12" i="47"/>
  <c r="D5" i="47"/>
  <c r="D4" i="47"/>
  <c r="B39" i="46"/>
  <c r="B38" i="46"/>
  <c r="T34" i="46"/>
  <c r="Z34" i="46" s="1"/>
  <c r="P34" i="46"/>
  <c r="H34" i="46"/>
  <c r="N34" i="46" s="1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P15" i="46"/>
  <c r="H15" i="46"/>
  <c r="N15" i="46" s="1"/>
  <c r="D15" i="46"/>
  <c r="T13" i="46"/>
  <c r="Z13" i="46" s="1"/>
  <c r="P13" i="46"/>
  <c r="H13" i="46"/>
  <c r="N13" i="46" s="1"/>
  <c r="D13" i="46"/>
  <c r="B13" i="46"/>
  <c r="T12" i="46"/>
  <c r="P12" i="46"/>
  <c r="R33" i="46" s="1"/>
  <c r="H12" i="46"/>
  <c r="D12" i="46"/>
  <c r="F24" i="46" s="1"/>
  <c r="D5" i="46"/>
  <c r="D4" i="46"/>
  <c r="Z99" i="45"/>
  <c r="X99" i="45"/>
  <c r="V99" i="45"/>
  <c r="N99" i="45"/>
  <c r="L99" i="45"/>
  <c r="Z95" i="45"/>
  <c r="X95" i="45"/>
  <c r="T95" i="45"/>
  <c r="P95" i="45"/>
  <c r="N95" i="45"/>
  <c r="L95" i="45"/>
  <c r="H95" i="45"/>
  <c r="D95" i="45"/>
  <c r="Z93" i="45"/>
  <c r="X93" i="45"/>
  <c r="V93" i="45"/>
  <c r="N93" i="45"/>
  <c r="L93" i="45"/>
  <c r="B93" i="45"/>
  <c r="Z92" i="45"/>
  <c r="X92" i="45"/>
  <c r="N92" i="45"/>
  <c r="L92" i="45"/>
  <c r="B92" i="45"/>
  <c r="Z91" i="45"/>
  <c r="X91" i="45"/>
  <c r="T91" i="45"/>
  <c r="P91" i="45"/>
  <c r="N91" i="45"/>
  <c r="J91" i="45"/>
  <c r="H91" i="45"/>
  <c r="D91" i="45"/>
  <c r="L91" i="45" s="1"/>
  <c r="B91" i="45"/>
  <c r="X90" i="45"/>
  <c r="Z90" i="45" s="1"/>
  <c r="L90" i="45"/>
  <c r="N90" i="45" s="1"/>
  <c r="B90" i="45"/>
  <c r="Z89" i="45"/>
  <c r="V89" i="45"/>
  <c r="T89" i="45"/>
  <c r="P89" i="45"/>
  <c r="X89" i="45" s="1"/>
  <c r="J89" i="45"/>
  <c r="H89" i="45"/>
  <c r="D89" i="45"/>
  <c r="L89" i="45" s="1"/>
  <c r="N89" i="45" s="1"/>
  <c r="B89" i="45"/>
  <c r="X88" i="45"/>
  <c r="Z88" i="45" s="1"/>
  <c r="L88" i="45"/>
  <c r="N88" i="45" s="1"/>
  <c r="B88" i="45"/>
  <c r="Z87" i="45"/>
  <c r="X87" i="45"/>
  <c r="V87" i="45"/>
  <c r="N87" i="45"/>
  <c r="L87" i="45"/>
  <c r="B87" i="45"/>
  <c r="X86" i="45"/>
  <c r="T86" i="45"/>
  <c r="P86" i="45"/>
  <c r="H86" i="45"/>
  <c r="D86" i="45"/>
  <c r="L86" i="45" s="1"/>
  <c r="B86" i="45"/>
  <c r="Z85" i="45"/>
  <c r="X85" i="45"/>
  <c r="N85" i="45"/>
  <c r="L85" i="45"/>
  <c r="J85" i="45"/>
  <c r="B85" i="45"/>
  <c r="Z84" i="45"/>
  <c r="X84" i="45"/>
  <c r="N84" i="45"/>
  <c r="L84" i="45"/>
  <c r="B84" i="45"/>
  <c r="Z83" i="45"/>
  <c r="X83" i="45"/>
  <c r="V83" i="45"/>
  <c r="N83" i="45"/>
  <c r="L83" i="45"/>
  <c r="B83" i="45"/>
  <c r="X82" i="45"/>
  <c r="Z82" i="45" s="1"/>
  <c r="L82" i="45"/>
  <c r="N82" i="45" s="1"/>
  <c r="B82" i="45"/>
  <c r="Z81" i="45"/>
  <c r="X81" i="45"/>
  <c r="V81" i="45"/>
  <c r="N81" i="45"/>
  <c r="L81" i="45"/>
  <c r="B81" i="45"/>
  <c r="X80" i="45"/>
  <c r="Z80" i="45" s="1"/>
  <c r="L80" i="45"/>
  <c r="N80" i="45" s="1"/>
  <c r="B80" i="45"/>
  <c r="Z79" i="45"/>
  <c r="X79" i="45"/>
  <c r="N79" i="45"/>
  <c r="L79" i="45"/>
  <c r="J79" i="45"/>
  <c r="B79" i="45"/>
  <c r="X78" i="45"/>
  <c r="Z78" i="45" s="1"/>
  <c r="L78" i="45"/>
  <c r="N78" i="45" s="1"/>
  <c r="B78" i="45"/>
  <c r="Z77" i="45"/>
  <c r="X77" i="45"/>
  <c r="T77" i="45"/>
  <c r="P77" i="45"/>
  <c r="N77" i="45"/>
  <c r="L77" i="45"/>
  <c r="H77" i="45"/>
  <c r="D77" i="45"/>
  <c r="B77" i="45"/>
  <c r="X76" i="45"/>
  <c r="Z76" i="45" s="1"/>
  <c r="L76" i="45"/>
  <c r="N76" i="45" s="1"/>
  <c r="B76" i="45"/>
  <c r="Z75" i="45"/>
  <c r="X75" i="45"/>
  <c r="N75" i="45"/>
  <c r="L75" i="45"/>
  <c r="J75" i="45"/>
  <c r="B75" i="45"/>
  <c r="X74" i="45"/>
  <c r="Z74" i="45" s="1"/>
  <c r="L74" i="45"/>
  <c r="N74" i="45" s="1"/>
  <c r="B74" i="45"/>
  <c r="Z73" i="45"/>
  <c r="X73" i="45"/>
  <c r="N73" i="45"/>
  <c r="L73" i="45"/>
  <c r="J73" i="45"/>
  <c r="B73" i="45"/>
  <c r="T72" i="45"/>
  <c r="P72" i="45"/>
  <c r="X72" i="45" s="1"/>
  <c r="H72" i="45"/>
  <c r="N72" i="45" s="1"/>
  <c r="D72" i="45"/>
  <c r="L72" i="45" s="1"/>
  <c r="B72" i="45"/>
  <c r="Z71" i="45"/>
  <c r="X71" i="45"/>
  <c r="N71" i="45"/>
  <c r="L71" i="45"/>
  <c r="J71" i="45"/>
  <c r="B71" i="45"/>
  <c r="X70" i="45"/>
  <c r="Z70" i="45" s="1"/>
  <c r="N70" i="45"/>
  <c r="L70" i="45"/>
  <c r="B70" i="45"/>
  <c r="Z69" i="45"/>
  <c r="X69" i="45"/>
  <c r="N69" i="45"/>
  <c r="L69" i="45"/>
  <c r="J69" i="45"/>
  <c r="B69" i="45"/>
  <c r="T68" i="45"/>
  <c r="P68" i="45"/>
  <c r="X68" i="45" s="1"/>
  <c r="H68" i="45"/>
  <c r="D68" i="45"/>
  <c r="L68" i="45" s="1"/>
  <c r="B68" i="45"/>
  <c r="Z67" i="45"/>
  <c r="X67" i="45"/>
  <c r="N67" i="45"/>
  <c r="L67" i="45"/>
  <c r="J67" i="45"/>
  <c r="B67" i="45"/>
  <c r="T66" i="45"/>
  <c r="P66" i="45"/>
  <c r="X66" i="45" s="1"/>
  <c r="L66" i="45"/>
  <c r="H66" i="45"/>
  <c r="N66" i="45" s="1"/>
  <c r="D66" i="45"/>
  <c r="B66" i="45"/>
  <c r="Z65" i="45"/>
  <c r="X65" i="45"/>
  <c r="V65" i="45"/>
  <c r="N65" i="45"/>
  <c r="L65" i="45"/>
  <c r="B65" i="45"/>
  <c r="X64" i="45"/>
  <c r="T64" i="45"/>
  <c r="Z64" i="45" s="1"/>
  <c r="P64" i="45"/>
  <c r="H64" i="45"/>
  <c r="D64" i="45"/>
  <c r="B64" i="45"/>
  <c r="Z63" i="45"/>
  <c r="X63" i="45"/>
  <c r="V63" i="45"/>
  <c r="N63" i="45"/>
  <c r="L63" i="45"/>
  <c r="B63" i="45"/>
  <c r="X62" i="45"/>
  <c r="T62" i="45"/>
  <c r="P62" i="45"/>
  <c r="H62" i="45"/>
  <c r="D62" i="45"/>
  <c r="L62" i="45" s="1"/>
  <c r="B62" i="45"/>
  <c r="Z61" i="45"/>
  <c r="X61" i="45"/>
  <c r="N61" i="45"/>
  <c r="L61" i="45"/>
  <c r="J61" i="45"/>
  <c r="B61" i="45"/>
  <c r="T60" i="45"/>
  <c r="P60" i="45"/>
  <c r="H60" i="45"/>
  <c r="D60" i="45"/>
  <c r="L60" i="45" s="1"/>
  <c r="B60" i="45"/>
  <c r="Z59" i="45"/>
  <c r="X59" i="45"/>
  <c r="N59" i="45"/>
  <c r="L59" i="45"/>
  <c r="J59" i="45"/>
  <c r="B59" i="45"/>
  <c r="T58" i="45"/>
  <c r="P58" i="45"/>
  <c r="X58" i="45" s="1"/>
  <c r="L58" i="45"/>
  <c r="H58" i="45"/>
  <c r="N58" i="45" s="1"/>
  <c r="D58" i="45"/>
  <c r="B58" i="45"/>
  <c r="Z57" i="45"/>
  <c r="X57" i="45"/>
  <c r="V57" i="45"/>
  <c r="N57" i="45"/>
  <c r="L57" i="45"/>
  <c r="B57" i="45"/>
  <c r="X56" i="45"/>
  <c r="T56" i="45"/>
  <c r="Z56" i="45" s="1"/>
  <c r="P56" i="45"/>
  <c r="H56" i="45"/>
  <c r="D56" i="45"/>
  <c r="B56" i="45"/>
  <c r="Z55" i="45"/>
  <c r="X55" i="45"/>
  <c r="V55" i="45"/>
  <c r="N55" i="45"/>
  <c r="L55" i="45"/>
  <c r="B55" i="45"/>
  <c r="X54" i="45"/>
  <c r="T54" i="45"/>
  <c r="P54" i="45"/>
  <c r="H54" i="45"/>
  <c r="D54" i="45"/>
  <c r="L54" i="45" s="1"/>
  <c r="B54" i="45"/>
  <c r="Z53" i="45"/>
  <c r="X53" i="45"/>
  <c r="N53" i="45"/>
  <c r="L53" i="45"/>
  <c r="J53" i="45"/>
  <c r="B53" i="45"/>
  <c r="T52" i="45"/>
  <c r="P52" i="45"/>
  <c r="X52" i="45" s="1"/>
  <c r="H52" i="45"/>
  <c r="D52" i="45"/>
  <c r="L52" i="45" s="1"/>
  <c r="B52" i="45"/>
  <c r="Z51" i="45"/>
  <c r="X51" i="45"/>
  <c r="N51" i="45"/>
  <c r="L51" i="45"/>
  <c r="J51" i="45"/>
  <c r="B51" i="45"/>
  <c r="T50" i="45"/>
  <c r="P50" i="45"/>
  <c r="X50" i="45" s="1"/>
  <c r="L50" i="45"/>
  <c r="H50" i="45"/>
  <c r="N50" i="45" s="1"/>
  <c r="D50" i="45"/>
  <c r="B50" i="45"/>
  <c r="Z49" i="45"/>
  <c r="X49" i="45"/>
  <c r="V49" i="45"/>
  <c r="N49" i="45"/>
  <c r="L49" i="45"/>
  <c r="B49" i="45"/>
  <c r="X48" i="45"/>
  <c r="T48" i="45"/>
  <c r="Z48" i="45" s="1"/>
  <c r="P48" i="45"/>
  <c r="H48" i="45"/>
  <c r="D48" i="45"/>
  <c r="B48" i="45"/>
  <c r="Z47" i="45"/>
  <c r="X47" i="45"/>
  <c r="V47" i="45"/>
  <c r="N47" i="45"/>
  <c r="L47" i="45"/>
  <c r="B47" i="45"/>
  <c r="Z46" i="45"/>
  <c r="X46" i="45"/>
  <c r="N46" i="45"/>
  <c r="L46" i="45"/>
  <c r="B46" i="45"/>
  <c r="Z45" i="45"/>
  <c r="X45" i="45"/>
  <c r="V45" i="45"/>
  <c r="N45" i="45"/>
  <c r="L45" i="45"/>
  <c r="B45" i="45"/>
  <c r="X44" i="45"/>
  <c r="Z44" i="45" s="1"/>
  <c r="N44" i="45"/>
  <c r="L44" i="45"/>
  <c r="B44" i="45"/>
  <c r="Z43" i="45"/>
  <c r="X43" i="45"/>
  <c r="N43" i="45"/>
  <c r="L43" i="45"/>
  <c r="J43" i="45"/>
  <c r="B43" i="45"/>
  <c r="X42" i="45"/>
  <c r="Z42" i="45" s="1"/>
  <c r="L42" i="45"/>
  <c r="N42" i="45" s="1"/>
  <c r="B42" i="45"/>
  <c r="Z41" i="45"/>
  <c r="X41" i="45"/>
  <c r="N41" i="45"/>
  <c r="L41" i="45"/>
  <c r="J41" i="45"/>
  <c r="B41" i="45"/>
  <c r="Z40" i="45"/>
  <c r="X40" i="45"/>
  <c r="N40" i="45"/>
  <c r="L40" i="45"/>
  <c r="B40" i="45"/>
  <c r="Z39" i="45"/>
  <c r="X39" i="45"/>
  <c r="V39" i="45"/>
  <c r="N39" i="45"/>
  <c r="L39" i="45"/>
  <c r="B39" i="45"/>
  <c r="Z38" i="45"/>
  <c r="X38" i="45"/>
  <c r="N38" i="45"/>
  <c r="L38" i="45"/>
  <c r="B38" i="45"/>
  <c r="V37" i="45"/>
  <c r="T37" i="45"/>
  <c r="P37" i="45"/>
  <c r="X37" i="45" s="1"/>
  <c r="Z37" i="45" s="1"/>
  <c r="J37" i="45"/>
  <c r="H37" i="45"/>
  <c r="D37" i="45"/>
  <c r="L37" i="45" s="1"/>
  <c r="N37" i="45" s="1"/>
  <c r="B37" i="45"/>
  <c r="X36" i="45"/>
  <c r="Z36" i="45" s="1"/>
  <c r="L36" i="45"/>
  <c r="N36" i="45" s="1"/>
  <c r="B36" i="45"/>
  <c r="Z35" i="45"/>
  <c r="X35" i="45"/>
  <c r="V35" i="45"/>
  <c r="N35" i="45"/>
  <c r="L35" i="45"/>
  <c r="J35" i="45"/>
  <c r="B35" i="45"/>
  <c r="X34" i="45"/>
  <c r="Z34" i="45" s="1"/>
  <c r="L34" i="45"/>
  <c r="N34" i="45" s="1"/>
  <c r="B34" i="45"/>
  <c r="Z33" i="45"/>
  <c r="X33" i="45"/>
  <c r="V33" i="45"/>
  <c r="N33" i="45"/>
  <c r="L33" i="45"/>
  <c r="J33" i="45"/>
  <c r="B33" i="45"/>
  <c r="Z32" i="45"/>
  <c r="X32" i="45"/>
  <c r="N32" i="45"/>
  <c r="L32" i="45"/>
  <c r="B32" i="45"/>
  <c r="Z31" i="45"/>
  <c r="X31" i="45"/>
  <c r="V31" i="45"/>
  <c r="N31" i="45"/>
  <c r="L31" i="45"/>
  <c r="J31" i="45"/>
  <c r="B31" i="45"/>
  <c r="X30" i="45"/>
  <c r="Z30" i="45" s="1"/>
  <c r="L30" i="45"/>
  <c r="N30" i="45" s="1"/>
  <c r="B30" i="45"/>
  <c r="Z29" i="45"/>
  <c r="X29" i="45"/>
  <c r="V29" i="45"/>
  <c r="N29" i="45"/>
  <c r="L29" i="45"/>
  <c r="J29" i="45"/>
  <c r="B29" i="45"/>
  <c r="X28" i="45"/>
  <c r="Z28" i="45" s="1"/>
  <c r="L28" i="45"/>
  <c r="N28" i="45" s="1"/>
  <c r="B28" i="45"/>
  <c r="Z27" i="45"/>
  <c r="X27" i="45"/>
  <c r="V27" i="45"/>
  <c r="N27" i="45"/>
  <c r="L27" i="45"/>
  <c r="J27" i="45"/>
  <c r="B27" i="45"/>
  <c r="X26" i="45"/>
  <c r="T26" i="45"/>
  <c r="P26" i="45"/>
  <c r="H26" i="45"/>
  <c r="D26" i="45"/>
  <c r="B26" i="45"/>
  <c r="V25" i="45"/>
  <c r="T25" i="45"/>
  <c r="P25" i="45"/>
  <c r="X25" i="45" s="1"/>
  <c r="Z25" i="45" s="1"/>
  <c r="N25" i="45"/>
  <c r="J25" i="45"/>
  <c r="H25" i="45"/>
  <c r="D25" i="45"/>
  <c r="L25" i="45" s="1"/>
  <c r="Z21" i="45"/>
  <c r="X21" i="45"/>
  <c r="V21" i="45"/>
  <c r="N21" i="45"/>
  <c r="L21" i="45"/>
  <c r="J21" i="45"/>
  <c r="B21" i="45"/>
  <c r="Z20" i="45"/>
  <c r="X20" i="45"/>
  <c r="V20" i="45"/>
  <c r="N20" i="45"/>
  <c r="L20" i="45"/>
  <c r="B20" i="45"/>
  <c r="Z19" i="45"/>
  <c r="X19" i="45"/>
  <c r="V19" i="45"/>
  <c r="N19" i="45"/>
  <c r="L19" i="45"/>
  <c r="J19" i="45"/>
  <c r="B19" i="45"/>
  <c r="X18" i="45"/>
  <c r="T18" i="45"/>
  <c r="P18" i="45"/>
  <c r="H18" i="45"/>
  <c r="D18" i="45"/>
  <c r="L18" i="45" s="1"/>
  <c r="Z16" i="45"/>
  <c r="X16" i="45"/>
  <c r="P16" i="45"/>
  <c r="N16" i="45"/>
  <c r="D16" i="45"/>
  <c r="B16" i="45"/>
  <c r="Z15" i="45"/>
  <c r="P15" i="45"/>
  <c r="X15" i="45" s="1"/>
  <c r="N15" i="45"/>
  <c r="L15" i="45"/>
  <c r="D15" i="45"/>
  <c r="B15" i="45"/>
  <c r="X14" i="45"/>
  <c r="Z14" i="45" s="1"/>
  <c r="P14" i="45"/>
  <c r="D14" i="45"/>
  <c r="L14" i="45" s="1"/>
  <c r="N14" i="45" s="1"/>
  <c r="B14" i="45"/>
  <c r="Z13" i="45"/>
  <c r="P13" i="45"/>
  <c r="X13" i="45" s="1"/>
  <c r="N13" i="45"/>
  <c r="L13" i="45"/>
  <c r="D13" i="45"/>
  <c r="B13" i="45"/>
  <c r="T12" i="45"/>
  <c r="V90" i="45" s="1"/>
  <c r="H12" i="45"/>
  <c r="J78" i="45" s="1"/>
  <c r="D4" i="45"/>
  <c r="B39" i="44"/>
  <c r="B38" i="44"/>
  <c r="T34" i="44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N29" i="44" s="1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N24" i="44" s="1"/>
  <c r="D24" i="44"/>
  <c r="T22" i="44"/>
  <c r="Z22" i="44" s="1"/>
  <c r="P22" i="44"/>
  <c r="H22" i="44"/>
  <c r="N22" i="44" s="1"/>
  <c r="D22" i="44"/>
  <c r="B22" i="44"/>
  <c r="T21" i="44"/>
  <c r="Z21" i="44" s="1"/>
  <c r="P21" i="44"/>
  <c r="H21" i="44"/>
  <c r="D21" i="44"/>
  <c r="B21" i="44"/>
  <c r="T20" i="44"/>
  <c r="Z20" i="44" s="1"/>
  <c r="P20" i="44"/>
  <c r="H20" i="44"/>
  <c r="N20" i="44" s="1"/>
  <c r="D20" i="44"/>
  <c r="T16" i="44"/>
  <c r="Z16" i="44" s="1"/>
  <c r="P16" i="44"/>
  <c r="H16" i="44"/>
  <c r="N16" i="44" s="1"/>
  <c r="D16" i="44"/>
  <c r="B16" i="44"/>
  <c r="T15" i="44"/>
  <c r="Z15" i="44" s="1"/>
  <c r="P15" i="44"/>
  <c r="H15" i="44"/>
  <c r="D15" i="44"/>
  <c r="T13" i="44"/>
  <c r="P13" i="44"/>
  <c r="H13" i="44"/>
  <c r="D13" i="44"/>
  <c r="B13" i="44"/>
  <c r="T12" i="44"/>
  <c r="V24" i="44" s="1"/>
  <c r="P12" i="44"/>
  <c r="H12" i="44"/>
  <c r="J18" i="44" s="1"/>
  <c r="D12" i="44"/>
  <c r="F24" i="44" s="1"/>
  <c r="D5" i="44"/>
  <c r="D4" i="44"/>
  <c r="B39" i="43"/>
  <c r="B38" i="43"/>
  <c r="T34" i="43"/>
  <c r="Z34" i="43" s="1"/>
  <c r="P34" i="43"/>
  <c r="H34" i="43"/>
  <c r="N34" i="43" s="1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Z25" i="43" s="1"/>
  <c r="P25" i="43"/>
  <c r="H25" i="43"/>
  <c r="N25" i="43" s="1"/>
  <c r="D25" i="43"/>
  <c r="B25" i="43"/>
  <c r="T24" i="43"/>
  <c r="Z24" i="43" s="1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N16" i="43" s="1"/>
  <c r="D16" i="43"/>
  <c r="B16" i="43"/>
  <c r="T15" i="43"/>
  <c r="Z15" i="43" s="1"/>
  <c r="P15" i="43"/>
  <c r="H15" i="43"/>
  <c r="N15" i="43" s="1"/>
  <c r="D15" i="43"/>
  <c r="T13" i="43"/>
  <c r="Z13" i="43" s="1"/>
  <c r="P13" i="43"/>
  <c r="H13" i="43"/>
  <c r="N13" i="43" s="1"/>
  <c r="D13" i="43"/>
  <c r="B13" i="43"/>
  <c r="T12" i="43"/>
  <c r="V20" i="43" s="1"/>
  <c r="P12" i="43"/>
  <c r="R20" i="43" s="1"/>
  <c r="H12" i="43"/>
  <c r="D12" i="43"/>
  <c r="F34" i="43" s="1"/>
  <c r="D5" i="43"/>
  <c r="D4" i="43"/>
  <c r="Z108" i="42"/>
  <c r="X108" i="42"/>
  <c r="N108" i="42"/>
  <c r="L108" i="42"/>
  <c r="J108" i="42"/>
  <c r="Z104" i="42"/>
  <c r="V104" i="42"/>
  <c r="P104" i="42"/>
  <c r="X104" i="42" s="1"/>
  <c r="N104" i="42"/>
  <c r="D104" i="42"/>
  <c r="L104" i="42" s="1"/>
  <c r="B104" i="42"/>
  <c r="Z103" i="42"/>
  <c r="X103" i="42"/>
  <c r="P103" i="42"/>
  <c r="N103" i="42"/>
  <c r="J103" i="42"/>
  <c r="D103" i="42"/>
  <c r="L103" i="42" s="1"/>
  <c r="B103" i="42"/>
  <c r="P102" i="42"/>
  <c r="L102" i="42"/>
  <c r="N102" i="42" s="1"/>
  <c r="D102" i="42"/>
  <c r="B102" i="42"/>
  <c r="T101" i="42"/>
  <c r="H101" i="42"/>
  <c r="D101" i="42"/>
  <c r="L101" i="42" s="1"/>
  <c r="X99" i="42"/>
  <c r="Z99" i="42" s="1"/>
  <c r="L99" i="42"/>
  <c r="N99" i="42" s="1"/>
  <c r="B99" i="42"/>
  <c r="T98" i="42"/>
  <c r="P98" i="42"/>
  <c r="X98" i="42" s="1"/>
  <c r="Z98" i="42" s="1"/>
  <c r="N98" i="42"/>
  <c r="H98" i="42"/>
  <c r="D98" i="42"/>
  <c r="L98" i="42" s="1"/>
  <c r="B98" i="42"/>
  <c r="X97" i="42"/>
  <c r="Z97" i="42" s="1"/>
  <c r="N97" i="42"/>
  <c r="L97" i="42"/>
  <c r="B97" i="42"/>
  <c r="Z96" i="42"/>
  <c r="T96" i="42"/>
  <c r="P96" i="42"/>
  <c r="X96" i="42" s="1"/>
  <c r="N96" i="42"/>
  <c r="J96" i="42"/>
  <c r="H96" i="42"/>
  <c r="L96" i="42" s="1"/>
  <c r="D96" i="42"/>
  <c r="B96" i="42"/>
  <c r="X95" i="42"/>
  <c r="Z95" i="42" s="1"/>
  <c r="L95" i="42"/>
  <c r="N95" i="42" s="1"/>
  <c r="B95" i="42"/>
  <c r="Z94" i="42"/>
  <c r="X94" i="42"/>
  <c r="N94" i="42"/>
  <c r="L94" i="42"/>
  <c r="B94" i="42"/>
  <c r="X93" i="42"/>
  <c r="T93" i="42"/>
  <c r="Z93" i="42" s="1"/>
  <c r="P93" i="42"/>
  <c r="H93" i="42"/>
  <c r="D93" i="42"/>
  <c r="B93" i="42"/>
  <c r="Z92" i="42"/>
  <c r="X92" i="42"/>
  <c r="V92" i="42"/>
  <c r="N92" i="42"/>
  <c r="L92" i="42"/>
  <c r="B92" i="42"/>
  <c r="X91" i="42"/>
  <c r="Z91" i="42" s="1"/>
  <c r="N91" i="42"/>
  <c r="L91" i="42"/>
  <c r="B91" i="42"/>
  <c r="Z90" i="42"/>
  <c r="X90" i="42"/>
  <c r="N90" i="42"/>
  <c r="L90" i="42"/>
  <c r="B90" i="42"/>
  <c r="X89" i="42"/>
  <c r="Z89" i="42" s="1"/>
  <c r="N89" i="42"/>
  <c r="L89" i="42"/>
  <c r="B89" i="42"/>
  <c r="Z88" i="42"/>
  <c r="X88" i="42"/>
  <c r="N88" i="42"/>
  <c r="L88" i="42"/>
  <c r="J88" i="42"/>
  <c r="B88" i="42"/>
  <c r="X87" i="42"/>
  <c r="Z87" i="42" s="1"/>
  <c r="L87" i="42"/>
  <c r="N87" i="42" s="1"/>
  <c r="B87" i="42"/>
  <c r="Z86" i="42"/>
  <c r="X86" i="42"/>
  <c r="N86" i="42"/>
  <c r="L86" i="42"/>
  <c r="J86" i="42"/>
  <c r="B86" i="42"/>
  <c r="X85" i="42"/>
  <c r="Z85" i="42" s="1"/>
  <c r="L85" i="42"/>
  <c r="N85" i="42" s="1"/>
  <c r="B85" i="42"/>
  <c r="Z84" i="42"/>
  <c r="X84" i="42"/>
  <c r="N84" i="42"/>
  <c r="L84" i="42"/>
  <c r="B84" i="42"/>
  <c r="X83" i="42"/>
  <c r="T83" i="42"/>
  <c r="P83" i="42"/>
  <c r="H83" i="42"/>
  <c r="D83" i="42"/>
  <c r="B83" i="42"/>
  <c r="Z82" i="42"/>
  <c r="X82" i="42"/>
  <c r="N82" i="42"/>
  <c r="L82" i="42"/>
  <c r="J82" i="42"/>
  <c r="B82" i="42"/>
  <c r="T81" i="42"/>
  <c r="P81" i="42"/>
  <c r="X81" i="42" s="1"/>
  <c r="H81" i="42"/>
  <c r="N81" i="42" s="1"/>
  <c r="D81" i="42"/>
  <c r="L81" i="42" s="1"/>
  <c r="B81" i="42"/>
  <c r="Z80" i="42"/>
  <c r="X80" i="42"/>
  <c r="N80" i="42"/>
  <c r="L80" i="42"/>
  <c r="J80" i="42"/>
  <c r="B80" i="42"/>
  <c r="X79" i="42"/>
  <c r="Z79" i="42" s="1"/>
  <c r="L79" i="42"/>
  <c r="N79" i="42" s="1"/>
  <c r="B79" i="42"/>
  <c r="Z78" i="42"/>
  <c r="X78" i="42"/>
  <c r="N78" i="42"/>
  <c r="L78" i="42"/>
  <c r="J78" i="42"/>
  <c r="B78" i="42"/>
  <c r="X77" i="42"/>
  <c r="Z77" i="42" s="1"/>
  <c r="L77" i="42"/>
  <c r="N77" i="42" s="1"/>
  <c r="B77" i="42"/>
  <c r="Z76" i="42"/>
  <c r="X76" i="42"/>
  <c r="N76" i="42"/>
  <c r="L76" i="42"/>
  <c r="B76" i="42"/>
  <c r="X75" i="42"/>
  <c r="T75" i="42"/>
  <c r="P75" i="42"/>
  <c r="H75" i="42"/>
  <c r="D75" i="42"/>
  <c r="B75" i="42"/>
  <c r="Z74" i="42"/>
  <c r="X74" i="42"/>
  <c r="N74" i="42"/>
  <c r="L74" i="42"/>
  <c r="J74" i="42"/>
  <c r="B74" i="42"/>
  <c r="T73" i="42"/>
  <c r="Z73" i="42" s="1"/>
  <c r="P73" i="42"/>
  <c r="X73" i="42" s="1"/>
  <c r="H73" i="42"/>
  <c r="N73" i="42" s="1"/>
  <c r="D73" i="42"/>
  <c r="L73" i="42" s="1"/>
  <c r="B73" i="42"/>
  <c r="Z72" i="42"/>
  <c r="X72" i="42"/>
  <c r="N72" i="42"/>
  <c r="L72" i="42"/>
  <c r="J72" i="42"/>
  <c r="B72" i="42"/>
  <c r="X71" i="42"/>
  <c r="Z71" i="42" s="1"/>
  <c r="L71" i="42"/>
  <c r="N71" i="42" s="1"/>
  <c r="B71" i="42"/>
  <c r="Z70" i="42"/>
  <c r="X70" i="42"/>
  <c r="N70" i="42"/>
  <c r="L70" i="42"/>
  <c r="J70" i="42"/>
  <c r="B70" i="42"/>
  <c r="T69" i="42"/>
  <c r="P69" i="42"/>
  <c r="X69" i="42" s="1"/>
  <c r="H69" i="42"/>
  <c r="N69" i="42" s="1"/>
  <c r="D69" i="42"/>
  <c r="L69" i="42" s="1"/>
  <c r="B69" i="42"/>
  <c r="Z68" i="42"/>
  <c r="X68" i="42"/>
  <c r="N68" i="42"/>
  <c r="L68" i="42"/>
  <c r="J68" i="42"/>
  <c r="B68" i="42"/>
  <c r="T67" i="42"/>
  <c r="P67" i="42"/>
  <c r="X67" i="42" s="1"/>
  <c r="L67" i="42"/>
  <c r="H67" i="42"/>
  <c r="N67" i="42" s="1"/>
  <c r="D67" i="42"/>
  <c r="B67" i="42"/>
  <c r="Z66" i="42"/>
  <c r="X66" i="42"/>
  <c r="N66" i="42"/>
  <c r="L66" i="42"/>
  <c r="B66" i="42"/>
  <c r="X65" i="42"/>
  <c r="T65" i="42"/>
  <c r="P65" i="42"/>
  <c r="L65" i="42"/>
  <c r="H65" i="42"/>
  <c r="D65" i="42"/>
  <c r="B65" i="42"/>
  <c r="Z64" i="42"/>
  <c r="X64" i="42"/>
  <c r="N64" i="42"/>
  <c r="L64" i="42"/>
  <c r="B64" i="42"/>
  <c r="X63" i="42"/>
  <c r="T63" i="42"/>
  <c r="P63" i="42"/>
  <c r="H63" i="42"/>
  <c r="D63" i="42"/>
  <c r="B63" i="42"/>
  <c r="Z62" i="42"/>
  <c r="X62" i="42"/>
  <c r="N62" i="42"/>
  <c r="L62" i="42"/>
  <c r="J62" i="42"/>
  <c r="B62" i="42"/>
  <c r="T61" i="42"/>
  <c r="P61" i="42"/>
  <c r="X61" i="42" s="1"/>
  <c r="H61" i="42"/>
  <c r="N61" i="42" s="1"/>
  <c r="D61" i="42"/>
  <c r="L61" i="42" s="1"/>
  <c r="B61" i="42"/>
  <c r="Z60" i="42"/>
  <c r="X60" i="42"/>
  <c r="N60" i="42"/>
  <c r="L60" i="42"/>
  <c r="J60" i="42"/>
  <c r="B60" i="42"/>
  <c r="T59" i="42"/>
  <c r="P59" i="42"/>
  <c r="X59" i="42" s="1"/>
  <c r="L59" i="42"/>
  <c r="H59" i="42"/>
  <c r="N59" i="42" s="1"/>
  <c r="D59" i="42"/>
  <c r="B59" i="42"/>
  <c r="Z58" i="42"/>
  <c r="X58" i="42"/>
  <c r="N58" i="42"/>
  <c r="L58" i="42"/>
  <c r="B58" i="42"/>
  <c r="X57" i="42"/>
  <c r="T57" i="42"/>
  <c r="P57" i="42"/>
  <c r="L57" i="42"/>
  <c r="H57" i="42"/>
  <c r="D57" i="42"/>
  <c r="B57" i="42"/>
  <c r="Z56" i="42"/>
  <c r="X56" i="42"/>
  <c r="N56" i="42"/>
  <c r="L56" i="42"/>
  <c r="B56" i="42"/>
  <c r="Z55" i="42"/>
  <c r="X55" i="42"/>
  <c r="N55" i="42"/>
  <c r="L55" i="42"/>
  <c r="B55" i="42"/>
  <c r="Z54" i="42"/>
  <c r="T54" i="42"/>
  <c r="P54" i="42"/>
  <c r="X54" i="42" s="1"/>
  <c r="N54" i="42"/>
  <c r="L54" i="42"/>
  <c r="J54" i="42"/>
  <c r="H54" i="42"/>
  <c r="D54" i="42"/>
  <c r="B54" i="42"/>
  <c r="X53" i="42"/>
  <c r="Z53" i="42" s="1"/>
  <c r="L53" i="42"/>
  <c r="N53" i="42" s="1"/>
  <c r="B53" i="42"/>
  <c r="Z52" i="42"/>
  <c r="X52" i="42"/>
  <c r="T52" i="42"/>
  <c r="P52" i="42"/>
  <c r="H52" i="42"/>
  <c r="L52" i="42" s="1"/>
  <c r="N52" i="42" s="1"/>
  <c r="D52" i="42"/>
  <c r="B52" i="42"/>
  <c r="X51" i="42"/>
  <c r="Z51" i="42" s="1"/>
  <c r="L51" i="42"/>
  <c r="N51" i="42" s="1"/>
  <c r="B51" i="42"/>
  <c r="T50" i="42"/>
  <c r="X50" i="42" s="1"/>
  <c r="Z50" i="42" s="1"/>
  <c r="P50" i="42"/>
  <c r="N50" i="42"/>
  <c r="H50" i="42"/>
  <c r="D50" i="42"/>
  <c r="L50" i="42" s="1"/>
  <c r="B50" i="42"/>
  <c r="Z49" i="42"/>
  <c r="X49" i="42"/>
  <c r="N49" i="42"/>
  <c r="L49" i="42"/>
  <c r="B49" i="42"/>
  <c r="Z48" i="42"/>
  <c r="T48" i="42"/>
  <c r="P48" i="42"/>
  <c r="X48" i="42" s="1"/>
  <c r="N48" i="42"/>
  <c r="J48" i="42"/>
  <c r="H48" i="42"/>
  <c r="D48" i="42"/>
  <c r="L48" i="42" s="1"/>
  <c r="B48" i="42"/>
  <c r="Z47" i="42"/>
  <c r="X47" i="42"/>
  <c r="N47" i="42"/>
  <c r="L47" i="42"/>
  <c r="B47" i="42"/>
  <c r="Z46" i="42"/>
  <c r="X46" i="42"/>
  <c r="N46" i="42"/>
  <c r="L46" i="42"/>
  <c r="B46" i="42"/>
  <c r="X45" i="42"/>
  <c r="Z45" i="42" s="1"/>
  <c r="L45" i="42"/>
  <c r="N45" i="42" s="1"/>
  <c r="B45" i="42"/>
  <c r="Z44" i="42"/>
  <c r="X44" i="42"/>
  <c r="N44" i="42"/>
  <c r="L44" i="42"/>
  <c r="J44" i="42"/>
  <c r="B44" i="42"/>
  <c r="Z43" i="42"/>
  <c r="X43" i="42"/>
  <c r="N43" i="42"/>
  <c r="L43" i="42"/>
  <c r="B43" i="42"/>
  <c r="Z42" i="42"/>
  <c r="X42" i="42"/>
  <c r="N42" i="42"/>
  <c r="L42" i="42"/>
  <c r="J42" i="42"/>
  <c r="B42" i="42"/>
  <c r="X41" i="42"/>
  <c r="Z41" i="42" s="1"/>
  <c r="L41" i="42"/>
  <c r="N41" i="42" s="1"/>
  <c r="B41" i="42"/>
  <c r="Z40" i="42"/>
  <c r="X40" i="42"/>
  <c r="N40" i="42"/>
  <c r="L40" i="42"/>
  <c r="B40" i="42"/>
  <c r="X39" i="42"/>
  <c r="Z39" i="42" s="1"/>
  <c r="L39" i="42"/>
  <c r="N39" i="42" s="1"/>
  <c r="B39" i="42"/>
  <c r="Z38" i="42"/>
  <c r="X38" i="42"/>
  <c r="V38" i="42"/>
  <c r="N38" i="42"/>
  <c r="L38" i="42"/>
  <c r="B38" i="42"/>
  <c r="X37" i="42"/>
  <c r="T37" i="42"/>
  <c r="P37" i="42"/>
  <c r="H37" i="42"/>
  <c r="D37" i="42"/>
  <c r="B37" i="42"/>
  <c r="Z36" i="42"/>
  <c r="X36" i="42"/>
  <c r="N36" i="42"/>
  <c r="L36" i="42"/>
  <c r="B36" i="42"/>
  <c r="X35" i="42"/>
  <c r="Z35" i="42" s="1"/>
  <c r="L35" i="42"/>
  <c r="N35" i="42" s="1"/>
  <c r="B35" i="42"/>
  <c r="Z34" i="42"/>
  <c r="X34" i="42"/>
  <c r="N34" i="42"/>
  <c r="L34" i="42"/>
  <c r="B34" i="42"/>
  <c r="Z33" i="42"/>
  <c r="X33" i="42"/>
  <c r="N33" i="42"/>
  <c r="L33" i="42"/>
  <c r="B33" i="42"/>
  <c r="Z32" i="42"/>
  <c r="X32" i="42"/>
  <c r="N32" i="42"/>
  <c r="L32" i="42"/>
  <c r="J32" i="42"/>
  <c r="B32" i="42"/>
  <c r="X31" i="42"/>
  <c r="Z31" i="42" s="1"/>
  <c r="L31" i="42"/>
  <c r="N31" i="42" s="1"/>
  <c r="B31" i="42"/>
  <c r="Z30" i="42"/>
  <c r="X30" i="42"/>
  <c r="N30" i="42"/>
  <c r="L30" i="42"/>
  <c r="J30" i="42"/>
  <c r="B30" i="42"/>
  <c r="X29" i="42"/>
  <c r="Z29" i="42" s="1"/>
  <c r="L29" i="42"/>
  <c r="N29" i="42" s="1"/>
  <c r="B29" i="42"/>
  <c r="Z28" i="42"/>
  <c r="X28" i="42"/>
  <c r="N28" i="42"/>
  <c r="L28" i="42"/>
  <c r="B28" i="42"/>
  <c r="T27" i="42"/>
  <c r="P27" i="42"/>
  <c r="H27" i="42"/>
  <c r="D27" i="42"/>
  <c r="B27" i="42"/>
  <c r="T26" i="42"/>
  <c r="Z26" i="42" s="1"/>
  <c r="P26" i="42"/>
  <c r="X26" i="42" s="1"/>
  <c r="N26" i="42"/>
  <c r="H26" i="42"/>
  <c r="D26" i="42"/>
  <c r="L26" i="42" s="1"/>
  <c r="Z22" i="42"/>
  <c r="X22" i="42"/>
  <c r="N22" i="42"/>
  <c r="L22" i="42"/>
  <c r="J22" i="42"/>
  <c r="B22" i="42"/>
  <c r="Z21" i="42"/>
  <c r="X21" i="42"/>
  <c r="N21" i="42"/>
  <c r="L21" i="42"/>
  <c r="B21" i="42"/>
  <c r="Z20" i="42"/>
  <c r="X20" i="42"/>
  <c r="V20" i="42"/>
  <c r="N20" i="42"/>
  <c r="L20" i="42"/>
  <c r="B20" i="42"/>
  <c r="T19" i="42"/>
  <c r="P19" i="42"/>
  <c r="H19" i="42"/>
  <c r="D19" i="42"/>
  <c r="Z17" i="42"/>
  <c r="P17" i="42"/>
  <c r="X17" i="42" s="1"/>
  <c r="N17" i="42"/>
  <c r="D17" i="42"/>
  <c r="B17" i="42"/>
  <c r="P16" i="42"/>
  <c r="X16" i="42" s="1"/>
  <c r="Z16" i="42" s="1"/>
  <c r="L16" i="42"/>
  <c r="N16" i="42" s="1"/>
  <c r="D16" i="42"/>
  <c r="B16" i="42"/>
  <c r="Z15" i="42"/>
  <c r="X15" i="42"/>
  <c r="P15" i="42"/>
  <c r="N15" i="42"/>
  <c r="D15" i="42"/>
  <c r="L15" i="42" s="1"/>
  <c r="B15" i="42"/>
  <c r="Z14" i="42"/>
  <c r="P14" i="42"/>
  <c r="N14" i="42"/>
  <c r="D14" i="42"/>
  <c r="L14" i="42" s="1"/>
  <c r="B14" i="42"/>
  <c r="X13" i="42"/>
  <c r="Z13" i="42" s="1"/>
  <c r="P13" i="42"/>
  <c r="N13" i="42"/>
  <c r="D13" i="42"/>
  <c r="L13" i="42" s="1"/>
  <c r="B13" i="42"/>
  <c r="T12" i="42"/>
  <c r="H12" i="42"/>
  <c r="J99" i="42" s="1"/>
  <c r="D4" i="42"/>
  <c r="B39" i="41"/>
  <c r="B38" i="41"/>
  <c r="T34" i="41"/>
  <c r="Z34" i="41" s="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Z24" i="41" s="1"/>
  <c r="P24" i="41"/>
  <c r="H24" i="41"/>
  <c r="N24" i="41" s="1"/>
  <c r="D24" i="41"/>
  <c r="T22" i="41"/>
  <c r="Z22" i="41" s="1"/>
  <c r="P22" i="41"/>
  <c r="H22" i="41"/>
  <c r="N22" i="41" s="1"/>
  <c r="D22" i="41"/>
  <c r="B22" i="41"/>
  <c r="T21" i="41"/>
  <c r="Z21" i="41" s="1"/>
  <c r="P21" i="41"/>
  <c r="H21" i="41"/>
  <c r="N21" i="41" s="1"/>
  <c r="D21" i="41"/>
  <c r="B21" i="41"/>
  <c r="T20" i="41"/>
  <c r="Z20" i="41" s="1"/>
  <c r="P20" i="41"/>
  <c r="H20" i="41"/>
  <c r="N20" i="41" s="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V18" i="41" s="1"/>
  <c r="P12" i="41"/>
  <c r="R34" i="41" s="1"/>
  <c r="H12" i="41"/>
  <c r="N12" i="41" s="1"/>
  <c r="D12" i="41"/>
  <c r="F18" i="41" s="1"/>
  <c r="D5" i="41"/>
  <c r="D4" i="41"/>
  <c r="B39" i="40"/>
  <c r="B38" i="40"/>
  <c r="T34" i="40"/>
  <c r="Z34" i="40" s="1"/>
  <c r="P34" i="40"/>
  <c r="H34" i="40"/>
  <c r="N34" i="40" s="1"/>
  <c r="D34" i="40"/>
  <c r="T33" i="40"/>
  <c r="Z33" i="40" s="1"/>
  <c r="P33" i="40"/>
  <c r="H33" i="40"/>
  <c r="N33" i="40" s="1"/>
  <c r="D33" i="40"/>
  <c r="T29" i="40"/>
  <c r="Z29" i="40" s="1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N24" i="40" s="1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Z20" i="40" s="1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Z15" i="40" s="1"/>
  <c r="P15" i="40"/>
  <c r="H15" i="40"/>
  <c r="N15" i="40" s="1"/>
  <c r="D15" i="40"/>
  <c r="T13" i="40"/>
  <c r="P13" i="40"/>
  <c r="H13" i="40"/>
  <c r="N13" i="40" s="1"/>
  <c r="D13" i="40"/>
  <c r="B13" i="40"/>
  <c r="T12" i="40"/>
  <c r="V34" i="40" s="1"/>
  <c r="P12" i="40"/>
  <c r="R34" i="40" s="1"/>
  <c r="H12" i="40"/>
  <c r="D12" i="40"/>
  <c r="F24" i="40" s="1"/>
  <c r="D5" i="40"/>
  <c r="D4" i="40"/>
  <c r="X111" i="39"/>
  <c r="Z111" i="39" s="1"/>
  <c r="L111" i="39"/>
  <c r="N111" i="39" s="1"/>
  <c r="Z107" i="39"/>
  <c r="X107" i="39"/>
  <c r="P107" i="39"/>
  <c r="N107" i="39"/>
  <c r="D107" i="39"/>
  <c r="D104" i="39" s="1"/>
  <c r="L104" i="39" s="1"/>
  <c r="B107" i="39"/>
  <c r="Z106" i="39"/>
  <c r="X106" i="39"/>
  <c r="P106" i="39"/>
  <c r="N106" i="39"/>
  <c r="L106" i="39"/>
  <c r="F106" i="39"/>
  <c r="D106" i="39"/>
  <c r="B106" i="39"/>
  <c r="P105" i="39"/>
  <c r="P104" i="39" s="1"/>
  <c r="X104" i="39" s="1"/>
  <c r="Z104" i="39" s="1"/>
  <c r="N105" i="39"/>
  <c r="L105" i="39"/>
  <c r="D105" i="39"/>
  <c r="B105" i="39"/>
  <c r="V104" i="39"/>
  <c r="T104" i="39"/>
  <c r="H104" i="39"/>
  <c r="Z102" i="39"/>
  <c r="X102" i="39"/>
  <c r="N102" i="39"/>
  <c r="L102" i="39"/>
  <c r="B102" i="39"/>
  <c r="T101" i="39"/>
  <c r="P101" i="39"/>
  <c r="X101" i="39" s="1"/>
  <c r="L101" i="39"/>
  <c r="N101" i="39" s="1"/>
  <c r="H101" i="39"/>
  <c r="D101" i="39"/>
  <c r="B101" i="39"/>
  <c r="Z100" i="39"/>
  <c r="X100" i="39"/>
  <c r="N100" i="39"/>
  <c r="L100" i="39"/>
  <c r="B100" i="39"/>
  <c r="X99" i="39"/>
  <c r="Z99" i="39" s="1"/>
  <c r="T99" i="39"/>
  <c r="P99" i="39"/>
  <c r="L99" i="39"/>
  <c r="H99" i="39"/>
  <c r="N99" i="39" s="1"/>
  <c r="D99" i="39"/>
  <c r="B99" i="39"/>
  <c r="Z98" i="39"/>
  <c r="X98" i="39"/>
  <c r="V98" i="39"/>
  <c r="N98" i="39"/>
  <c r="L98" i="39"/>
  <c r="B98" i="39"/>
  <c r="X97" i="39"/>
  <c r="Z97" i="39" s="1"/>
  <c r="L97" i="39"/>
  <c r="N97" i="39" s="1"/>
  <c r="B97" i="39"/>
  <c r="Z96" i="39"/>
  <c r="V96" i="39"/>
  <c r="T96" i="39"/>
  <c r="P96" i="39"/>
  <c r="X96" i="39" s="1"/>
  <c r="N96" i="39"/>
  <c r="L96" i="39"/>
  <c r="H96" i="39"/>
  <c r="D96" i="39"/>
  <c r="B96" i="39"/>
  <c r="X95" i="39"/>
  <c r="Z95" i="39" s="1"/>
  <c r="N95" i="39"/>
  <c r="L95" i="39"/>
  <c r="B95" i="39"/>
  <c r="Z94" i="39"/>
  <c r="X94" i="39"/>
  <c r="V94" i="39"/>
  <c r="N94" i="39"/>
  <c r="L94" i="39"/>
  <c r="B94" i="39"/>
  <c r="X93" i="39"/>
  <c r="Z93" i="39" s="1"/>
  <c r="L93" i="39"/>
  <c r="N93" i="39" s="1"/>
  <c r="B93" i="39"/>
  <c r="Z92" i="39"/>
  <c r="X92" i="39"/>
  <c r="V92" i="39"/>
  <c r="N92" i="39"/>
  <c r="L92" i="39"/>
  <c r="B92" i="39"/>
  <c r="X91" i="39"/>
  <c r="Z91" i="39" s="1"/>
  <c r="L91" i="39"/>
  <c r="N91" i="39" s="1"/>
  <c r="B91" i="39"/>
  <c r="Z90" i="39"/>
  <c r="X90" i="39"/>
  <c r="N90" i="39"/>
  <c r="L90" i="39"/>
  <c r="B90" i="39"/>
  <c r="X89" i="39"/>
  <c r="Z89" i="39" s="1"/>
  <c r="N89" i="39"/>
  <c r="L89" i="39"/>
  <c r="B89" i="39"/>
  <c r="X88" i="39"/>
  <c r="Z88" i="39" s="1"/>
  <c r="N88" i="39"/>
  <c r="L88" i="39"/>
  <c r="B88" i="39"/>
  <c r="X87" i="39"/>
  <c r="Z87" i="39" s="1"/>
  <c r="L87" i="39"/>
  <c r="N87" i="39" s="1"/>
  <c r="B87" i="39"/>
  <c r="Z86" i="39"/>
  <c r="X86" i="39"/>
  <c r="V86" i="39"/>
  <c r="N86" i="39"/>
  <c r="L86" i="39"/>
  <c r="B86" i="39"/>
  <c r="T85" i="39"/>
  <c r="P85" i="39"/>
  <c r="H85" i="39"/>
  <c r="D85" i="39"/>
  <c r="L85" i="39" s="1"/>
  <c r="B85" i="39"/>
  <c r="X84" i="39"/>
  <c r="Z84" i="39" s="1"/>
  <c r="N84" i="39"/>
  <c r="L84" i="39"/>
  <c r="B84" i="39"/>
  <c r="T83" i="39"/>
  <c r="P83" i="39"/>
  <c r="X83" i="39" s="1"/>
  <c r="H83" i="39"/>
  <c r="D83" i="39"/>
  <c r="L83" i="39" s="1"/>
  <c r="B83" i="39"/>
  <c r="Z82" i="39"/>
  <c r="X82" i="39"/>
  <c r="N82" i="39"/>
  <c r="L82" i="39"/>
  <c r="B82" i="39"/>
  <c r="X81" i="39"/>
  <c r="Z81" i="39" s="1"/>
  <c r="L81" i="39"/>
  <c r="N81" i="39" s="1"/>
  <c r="B81" i="39"/>
  <c r="X80" i="39"/>
  <c r="Z80" i="39" s="1"/>
  <c r="N80" i="39"/>
  <c r="L80" i="39"/>
  <c r="B80" i="39"/>
  <c r="X79" i="39"/>
  <c r="Z79" i="39" s="1"/>
  <c r="L79" i="39"/>
  <c r="N79" i="39" s="1"/>
  <c r="B79" i="39"/>
  <c r="Z78" i="39"/>
  <c r="X78" i="39"/>
  <c r="N78" i="39"/>
  <c r="L78" i="39"/>
  <c r="B78" i="39"/>
  <c r="X77" i="39"/>
  <c r="T77" i="39"/>
  <c r="P77" i="39"/>
  <c r="H77" i="39"/>
  <c r="D77" i="39"/>
  <c r="B77" i="39"/>
  <c r="X76" i="39"/>
  <c r="Z76" i="39" s="1"/>
  <c r="N76" i="39"/>
  <c r="L76" i="39"/>
  <c r="B76" i="39"/>
  <c r="Z75" i="39"/>
  <c r="X75" i="39"/>
  <c r="N75" i="39"/>
  <c r="L75" i="39"/>
  <c r="B75" i="39"/>
  <c r="Z74" i="39"/>
  <c r="X74" i="39"/>
  <c r="V74" i="39"/>
  <c r="T74" i="39"/>
  <c r="P74" i="39"/>
  <c r="L74" i="39"/>
  <c r="N74" i="39" s="1"/>
  <c r="H74" i="39"/>
  <c r="D74" i="39"/>
  <c r="B74" i="39"/>
  <c r="X73" i="39"/>
  <c r="Z73" i="39" s="1"/>
  <c r="L73" i="39"/>
  <c r="N73" i="39" s="1"/>
  <c r="B73" i="39"/>
  <c r="X72" i="39"/>
  <c r="Z72" i="39" s="1"/>
  <c r="N72" i="39"/>
  <c r="L72" i="39"/>
  <c r="B72" i="39"/>
  <c r="X71" i="39"/>
  <c r="Z71" i="39" s="1"/>
  <c r="N71" i="39"/>
  <c r="L71" i="39"/>
  <c r="B71" i="39"/>
  <c r="Z70" i="39"/>
  <c r="X70" i="39"/>
  <c r="T70" i="39"/>
  <c r="P70" i="39"/>
  <c r="L70" i="39"/>
  <c r="N70" i="39" s="1"/>
  <c r="H70" i="39"/>
  <c r="D70" i="39"/>
  <c r="B70" i="39"/>
  <c r="X69" i="39"/>
  <c r="Z69" i="39" s="1"/>
  <c r="L69" i="39"/>
  <c r="N69" i="39" s="1"/>
  <c r="F69" i="39"/>
  <c r="B69" i="39"/>
  <c r="X68" i="39"/>
  <c r="Z68" i="39" s="1"/>
  <c r="T68" i="39"/>
  <c r="P68" i="39"/>
  <c r="H68" i="39"/>
  <c r="D68" i="39"/>
  <c r="L68" i="39" s="1"/>
  <c r="N68" i="39" s="1"/>
  <c r="B68" i="39"/>
  <c r="X67" i="39"/>
  <c r="Z67" i="39" s="1"/>
  <c r="N67" i="39"/>
  <c r="L67" i="39"/>
  <c r="B67" i="39"/>
  <c r="T66" i="39"/>
  <c r="P66" i="39"/>
  <c r="X66" i="39" s="1"/>
  <c r="Z66" i="39" s="1"/>
  <c r="N66" i="39"/>
  <c r="H66" i="39"/>
  <c r="D66" i="39"/>
  <c r="L66" i="39" s="1"/>
  <c r="B66" i="39"/>
  <c r="X65" i="39"/>
  <c r="Z65" i="39" s="1"/>
  <c r="L65" i="39"/>
  <c r="N65" i="39" s="1"/>
  <c r="B65" i="39"/>
  <c r="V64" i="39"/>
  <c r="T64" i="39"/>
  <c r="P64" i="39"/>
  <c r="X64" i="39" s="1"/>
  <c r="Z64" i="39" s="1"/>
  <c r="N64" i="39"/>
  <c r="L64" i="39"/>
  <c r="J64" i="39"/>
  <c r="H64" i="39"/>
  <c r="D64" i="39"/>
  <c r="B64" i="39"/>
  <c r="Z63" i="39"/>
  <c r="X63" i="39"/>
  <c r="N63" i="39"/>
  <c r="L63" i="39"/>
  <c r="B63" i="39"/>
  <c r="Z62" i="39"/>
  <c r="X62" i="39"/>
  <c r="V62" i="39"/>
  <c r="T62" i="39"/>
  <c r="P62" i="39"/>
  <c r="L62" i="39"/>
  <c r="H62" i="39"/>
  <c r="N62" i="39" s="1"/>
  <c r="D62" i="39"/>
  <c r="B62" i="39"/>
  <c r="X61" i="39"/>
  <c r="Z61" i="39" s="1"/>
  <c r="L61" i="39"/>
  <c r="N61" i="39" s="1"/>
  <c r="B61" i="39"/>
  <c r="X60" i="39"/>
  <c r="T60" i="39"/>
  <c r="Z60" i="39" s="1"/>
  <c r="P60" i="39"/>
  <c r="H60" i="39"/>
  <c r="D60" i="39"/>
  <c r="L60" i="39" s="1"/>
  <c r="N60" i="39" s="1"/>
  <c r="B60" i="39"/>
  <c r="X59" i="39"/>
  <c r="Z59" i="39" s="1"/>
  <c r="N59" i="39"/>
  <c r="L59" i="39"/>
  <c r="B59" i="39"/>
  <c r="Z58" i="39"/>
  <c r="T58" i="39"/>
  <c r="P58" i="39"/>
  <c r="X58" i="39" s="1"/>
  <c r="H58" i="39"/>
  <c r="D58" i="39"/>
  <c r="L58" i="39" s="1"/>
  <c r="N58" i="39" s="1"/>
  <c r="B58" i="39"/>
  <c r="X57" i="39"/>
  <c r="Z57" i="39" s="1"/>
  <c r="L57" i="39"/>
  <c r="N57" i="39" s="1"/>
  <c r="B57" i="39"/>
  <c r="Z56" i="39"/>
  <c r="X56" i="39"/>
  <c r="V56" i="39"/>
  <c r="N56" i="39"/>
  <c r="L56" i="39"/>
  <c r="B56" i="39"/>
  <c r="X55" i="39"/>
  <c r="Z55" i="39" s="1"/>
  <c r="T55" i="39"/>
  <c r="P55" i="39"/>
  <c r="H55" i="39"/>
  <c r="D55" i="39"/>
  <c r="B55" i="39"/>
  <c r="Z54" i="39"/>
  <c r="X54" i="39"/>
  <c r="V54" i="39"/>
  <c r="N54" i="39"/>
  <c r="L54" i="39"/>
  <c r="B54" i="39"/>
  <c r="T53" i="39"/>
  <c r="P53" i="39"/>
  <c r="H53" i="39"/>
  <c r="D53" i="39"/>
  <c r="B53" i="39"/>
  <c r="X52" i="39"/>
  <c r="Z52" i="39" s="1"/>
  <c r="N52" i="39"/>
  <c r="L52" i="39"/>
  <c r="B52" i="39"/>
  <c r="T51" i="39"/>
  <c r="P51" i="39"/>
  <c r="X51" i="39" s="1"/>
  <c r="H51" i="39"/>
  <c r="N51" i="39" s="1"/>
  <c r="D51" i="39"/>
  <c r="L51" i="39" s="1"/>
  <c r="B51" i="39"/>
  <c r="Z50" i="39"/>
  <c r="X50" i="39"/>
  <c r="N50" i="39"/>
  <c r="L50" i="39"/>
  <c r="B50" i="39"/>
  <c r="T49" i="39"/>
  <c r="Z49" i="39" s="1"/>
  <c r="P49" i="39"/>
  <c r="X49" i="39" s="1"/>
  <c r="L49" i="39"/>
  <c r="H49" i="39"/>
  <c r="N49" i="39" s="1"/>
  <c r="D49" i="39"/>
  <c r="B49" i="39"/>
  <c r="Z48" i="39"/>
  <c r="X48" i="39"/>
  <c r="N48" i="39"/>
  <c r="L48" i="39"/>
  <c r="B48" i="39"/>
  <c r="Z47" i="39"/>
  <c r="X47" i="39"/>
  <c r="N47" i="39"/>
  <c r="L47" i="39"/>
  <c r="B47" i="39"/>
  <c r="Z46" i="39"/>
  <c r="X46" i="39"/>
  <c r="N46" i="39"/>
  <c r="L46" i="39"/>
  <c r="B46" i="39"/>
  <c r="X45" i="39"/>
  <c r="Z45" i="39" s="1"/>
  <c r="L45" i="39"/>
  <c r="N45" i="39" s="1"/>
  <c r="B45" i="39"/>
  <c r="Z44" i="39"/>
  <c r="X44" i="39"/>
  <c r="N44" i="39"/>
  <c r="L44" i="39"/>
  <c r="B44" i="39"/>
  <c r="X43" i="39"/>
  <c r="Z43" i="39" s="1"/>
  <c r="L43" i="39"/>
  <c r="N43" i="39" s="1"/>
  <c r="B43" i="39"/>
  <c r="Z42" i="39"/>
  <c r="X42" i="39"/>
  <c r="N42" i="39"/>
  <c r="L42" i="39"/>
  <c r="B42" i="39"/>
  <c r="Z41" i="39"/>
  <c r="X41" i="39"/>
  <c r="N41" i="39"/>
  <c r="L41" i="39"/>
  <c r="B41" i="39"/>
  <c r="Z40" i="39"/>
  <c r="X40" i="39"/>
  <c r="V40" i="39"/>
  <c r="L40" i="39"/>
  <c r="N40" i="39" s="1"/>
  <c r="B40" i="39"/>
  <c r="X39" i="39"/>
  <c r="Z39" i="39" s="1"/>
  <c r="N39" i="39"/>
  <c r="L39" i="39"/>
  <c r="B39" i="39"/>
  <c r="Z38" i="39"/>
  <c r="T38" i="39"/>
  <c r="P38" i="39"/>
  <c r="X38" i="39" s="1"/>
  <c r="N38" i="39"/>
  <c r="H38" i="39"/>
  <c r="D38" i="39"/>
  <c r="L38" i="39" s="1"/>
  <c r="B38" i="39"/>
  <c r="X37" i="39"/>
  <c r="Z37" i="39" s="1"/>
  <c r="L37" i="39"/>
  <c r="N37" i="39" s="1"/>
  <c r="B37" i="39"/>
  <c r="Z36" i="39"/>
  <c r="X36" i="39"/>
  <c r="V36" i="39"/>
  <c r="L36" i="39"/>
  <c r="N36" i="39" s="1"/>
  <c r="B36" i="39"/>
  <c r="X35" i="39"/>
  <c r="Z35" i="39" s="1"/>
  <c r="N35" i="39"/>
  <c r="L35" i="39"/>
  <c r="F35" i="39"/>
  <c r="B35" i="39"/>
  <c r="Z34" i="39"/>
  <c r="X34" i="39"/>
  <c r="N34" i="39"/>
  <c r="L34" i="39"/>
  <c r="B34" i="39"/>
  <c r="X33" i="39"/>
  <c r="Z33" i="39" s="1"/>
  <c r="V33" i="39"/>
  <c r="L33" i="39"/>
  <c r="N33" i="39" s="1"/>
  <c r="B33" i="39"/>
  <c r="X32" i="39"/>
  <c r="Z32" i="39" s="1"/>
  <c r="V32" i="39"/>
  <c r="N32" i="39"/>
  <c r="L32" i="39"/>
  <c r="B32" i="39"/>
  <c r="X31" i="39"/>
  <c r="Z31" i="39" s="1"/>
  <c r="L31" i="39"/>
  <c r="N31" i="39" s="1"/>
  <c r="B31" i="39"/>
  <c r="X30" i="39"/>
  <c r="Z30" i="39" s="1"/>
  <c r="N30" i="39"/>
  <c r="L30" i="39"/>
  <c r="B30" i="39"/>
  <c r="X29" i="39"/>
  <c r="Z29" i="39" s="1"/>
  <c r="L29" i="39"/>
  <c r="N29" i="39" s="1"/>
  <c r="B29" i="39"/>
  <c r="X28" i="39"/>
  <c r="Z28" i="39" s="1"/>
  <c r="T28" i="39"/>
  <c r="P28" i="39"/>
  <c r="L28" i="39"/>
  <c r="N28" i="39" s="1"/>
  <c r="H28" i="39"/>
  <c r="D28" i="39"/>
  <c r="B28" i="39"/>
  <c r="X27" i="39"/>
  <c r="V27" i="39"/>
  <c r="T27" i="39"/>
  <c r="Z27" i="39" s="1"/>
  <c r="P27" i="39"/>
  <c r="H27" i="39"/>
  <c r="D27" i="39"/>
  <c r="L27" i="39" s="1"/>
  <c r="T25" i="39"/>
  <c r="T109" i="39" s="1"/>
  <c r="Z23" i="39"/>
  <c r="X23" i="39"/>
  <c r="V23" i="39"/>
  <c r="N23" i="39"/>
  <c r="L23" i="39"/>
  <c r="B23" i="39"/>
  <c r="Z22" i="39"/>
  <c r="X22" i="39"/>
  <c r="V22" i="39"/>
  <c r="N22" i="39"/>
  <c r="L22" i="39"/>
  <c r="B22" i="39"/>
  <c r="X21" i="39"/>
  <c r="Z21" i="39" s="1"/>
  <c r="V21" i="39"/>
  <c r="L21" i="39"/>
  <c r="N21" i="39" s="1"/>
  <c r="B21" i="39"/>
  <c r="V20" i="39"/>
  <c r="T20" i="39"/>
  <c r="P20" i="39"/>
  <c r="X20" i="39" s="1"/>
  <c r="Z20" i="39" s="1"/>
  <c r="H20" i="39"/>
  <c r="N20" i="39" s="1"/>
  <c r="D20" i="39"/>
  <c r="L20" i="39" s="1"/>
  <c r="Z18" i="39"/>
  <c r="X18" i="39"/>
  <c r="P18" i="39"/>
  <c r="N18" i="39"/>
  <c r="D18" i="39"/>
  <c r="L18" i="39" s="1"/>
  <c r="B18" i="39"/>
  <c r="Z17" i="39"/>
  <c r="X17" i="39"/>
  <c r="P17" i="39"/>
  <c r="N17" i="39"/>
  <c r="L17" i="39"/>
  <c r="D17" i="39"/>
  <c r="B17" i="39"/>
  <c r="P16" i="39"/>
  <c r="X16" i="39" s="1"/>
  <c r="Z16" i="39" s="1"/>
  <c r="D16" i="39"/>
  <c r="L16" i="39" s="1"/>
  <c r="N16" i="39" s="1"/>
  <c r="B16" i="39"/>
  <c r="Z15" i="39"/>
  <c r="P15" i="39"/>
  <c r="N15" i="39"/>
  <c r="L15" i="39"/>
  <c r="D15" i="39"/>
  <c r="B15" i="39"/>
  <c r="Z14" i="39"/>
  <c r="X14" i="39"/>
  <c r="P14" i="39"/>
  <c r="N14" i="39"/>
  <c r="L14" i="39"/>
  <c r="D14" i="39"/>
  <c r="B14" i="39"/>
  <c r="P13" i="39"/>
  <c r="X13" i="39" s="1"/>
  <c r="Z13" i="39" s="1"/>
  <c r="D13" i="39"/>
  <c r="D12" i="39" s="1"/>
  <c r="F81" i="39" s="1"/>
  <c r="B13" i="39"/>
  <c r="T12" i="39"/>
  <c r="V31" i="39" s="1"/>
  <c r="H12" i="39"/>
  <c r="D4" i="39"/>
  <c r="B39" i="38"/>
  <c r="B38" i="38"/>
  <c r="T34" i="38"/>
  <c r="Z34" i="38" s="1"/>
  <c r="P34" i="38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D24" i="38"/>
  <c r="T22" i="38"/>
  <c r="Z22" i="38" s="1"/>
  <c r="P22" i="38"/>
  <c r="H22" i="38"/>
  <c r="N22" i="38" s="1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N20" i="38" s="1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N15" i="38" s="1"/>
  <c r="D15" i="38"/>
  <c r="T13" i="38"/>
  <c r="Z13" i="38" s="1"/>
  <c r="P13" i="38"/>
  <c r="H13" i="38"/>
  <c r="N13" i="38" s="1"/>
  <c r="D13" i="38"/>
  <c r="B13" i="38"/>
  <c r="T12" i="38"/>
  <c r="V22" i="38" s="1"/>
  <c r="P12" i="38"/>
  <c r="R21" i="38" s="1"/>
  <c r="H12" i="38"/>
  <c r="J16" i="38" s="1"/>
  <c r="D12" i="38"/>
  <c r="F25" i="38" s="1"/>
  <c r="D5" i="38"/>
  <c r="D4" i="38"/>
  <c r="B39" i="37"/>
  <c r="B38" i="37"/>
  <c r="T34" i="37"/>
  <c r="Z34" i="37" s="1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Z24" i="37" s="1"/>
  <c r="P24" i="37"/>
  <c r="H24" i="37"/>
  <c r="N24" i="37" s="1"/>
  <c r="D24" i="37"/>
  <c r="T22" i="37"/>
  <c r="Z22" i="37" s="1"/>
  <c r="P22" i="37"/>
  <c r="H22" i="37"/>
  <c r="N22" i="37" s="1"/>
  <c r="D22" i="37"/>
  <c r="B22" i="37"/>
  <c r="T21" i="37"/>
  <c r="Z21" i="37" s="1"/>
  <c r="P21" i="37"/>
  <c r="H21" i="37"/>
  <c r="N21" i="37" s="1"/>
  <c r="D21" i="37"/>
  <c r="B21" i="37"/>
  <c r="T20" i="37"/>
  <c r="Z20" i="37" s="1"/>
  <c r="P20" i="37"/>
  <c r="H20" i="37"/>
  <c r="N20" i="37" s="1"/>
  <c r="D20" i="37"/>
  <c r="T16" i="37"/>
  <c r="Z16" i="37" s="1"/>
  <c r="P16" i="37"/>
  <c r="H16" i="37"/>
  <c r="N16" i="37" s="1"/>
  <c r="D16" i="37"/>
  <c r="B16" i="37"/>
  <c r="T15" i="37"/>
  <c r="Z15" i="37" s="1"/>
  <c r="P15" i="37"/>
  <c r="H15" i="37"/>
  <c r="N15" i="37" s="1"/>
  <c r="D15" i="37"/>
  <c r="T13" i="37"/>
  <c r="P13" i="37"/>
  <c r="H13" i="37"/>
  <c r="D13" i="37"/>
  <c r="B13" i="37"/>
  <c r="T12" i="37"/>
  <c r="V22" i="37" s="1"/>
  <c r="P12" i="37"/>
  <c r="R34" i="37" s="1"/>
  <c r="H12" i="37"/>
  <c r="J20" i="37" s="1"/>
  <c r="D12" i="37"/>
  <c r="D5" i="37"/>
  <c r="D4" i="37"/>
  <c r="Z118" i="36"/>
  <c r="X118" i="36"/>
  <c r="L118" i="36"/>
  <c r="N118" i="36" s="1"/>
  <c r="Z114" i="36"/>
  <c r="X114" i="36"/>
  <c r="P114" i="36"/>
  <c r="N114" i="36"/>
  <c r="L114" i="36"/>
  <c r="J114" i="36"/>
  <c r="D114" i="36"/>
  <c r="B114" i="36"/>
  <c r="Z113" i="36"/>
  <c r="P113" i="36"/>
  <c r="X113" i="36" s="1"/>
  <c r="N113" i="36"/>
  <c r="L113" i="36"/>
  <c r="D113" i="36"/>
  <c r="B113" i="36"/>
  <c r="X112" i="36"/>
  <c r="Z112" i="36" s="1"/>
  <c r="P112" i="36"/>
  <c r="D112" i="36"/>
  <c r="B112" i="36"/>
  <c r="T111" i="36"/>
  <c r="P111" i="36"/>
  <c r="X111" i="36" s="1"/>
  <c r="Z111" i="36" s="1"/>
  <c r="H111" i="36"/>
  <c r="X109" i="36"/>
  <c r="Z109" i="36" s="1"/>
  <c r="L109" i="36"/>
  <c r="N109" i="36" s="1"/>
  <c r="B109" i="36"/>
  <c r="Z108" i="36"/>
  <c r="X108" i="36"/>
  <c r="T108" i="36"/>
  <c r="P108" i="36"/>
  <c r="H108" i="36"/>
  <c r="D108" i="36"/>
  <c r="L108" i="36" s="1"/>
  <c r="B108" i="36"/>
  <c r="Z107" i="36"/>
  <c r="X107" i="36"/>
  <c r="N107" i="36"/>
  <c r="L107" i="36"/>
  <c r="B107" i="36"/>
  <c r="Z106" i="36"/>
  <c r="X106" i="36"/>
  <c r="V106" i="36"/>
  <c r="N106" i="36"/>
  <c r="L106" i="36"/>
  <c r="B106" i="36"/>
  <c r="X105" i="36"/>
  <c r="T105" i="36"/>
  <c r="Z105" i="36" s="1"/>
  <c r="P105" i="36"/>
  <c r="H105" i="36"/>
  <c r="D105" i="36"/>
  <c r="B105" i="36"/>
  <c r="Z104" i="36"/>
  <c r="X104" i="36"/>
  <c r="L104" i="36"/>
  <c r="N104" i="36" s="1"/>
  <c r="B104" i="36"/>
  <c r="T103" i="36"/>
  <c r="R103" i="36"/>
  <c r="P103" i="36"/>
  <c r="H103" i="36"/>
  <c r="D103" i="36"/>
  <c r="L103" i="36" s="1"/>
  <c r="N103" i="36" s="1"/>
  <c r="B103" i="36"/>
  <c r="X102" i="36"/>
  <c r="Z102" i="36" s="1"/>
  <c r="N102" i="36"/>
  <c r="L102" i="36"/>
  <c r="J102" i="36"/>
  <c r="B102" i="36"/>
  <c r="X101" i="36"/>
  <c r="Z101" i="36" s="1"/>
  <c r="L101" i="36"/>
  <c r="N101" i="36" s="1"/>
  <c r="J101" i="36"/>
  <c r="B101" i="36"/>
  <c r="T100" i="36"/>
  <c r="R100" i="36"/>
  <c r="P100" i="36"/>
  <c r="X100" i="36" s="1"/>
  <c r="Z100" i="36" s="1"/>
  <c r="L100" i="36"/>
  <c r="N100" i="36" s="1"/>
  <c r="H100" i="36"/>
  <c r="D100" i="36"/>
  <c r="B100" i="36"/>
  <c r="Z99" i="36"/>
  <c r="X99" i="36"/>
  <c r="L99" i="36"/>
  <c r="N99" i="36" s="1"/>
  <c r="B99" i="36"/>
  <c r="X98" i="36"/>
  <c r="Z98" i="36" s="1"/>
  <c r="N98" i="36"/>
  <c r="L98" i="36"/>
  <c r="J98" i="36"/>
  <c r="B98" i="36"/>
  <c r="X97" i="36"/>
  <c r="Z97" i="36" s="1"/>
  <c r="L97" i="36"/>
  <c r="N97" i="36" s="1"/>
  <c r="J97" i="36"/>
  <c r="B97" i="36"/>
  <c r="Z96" i="36"/>
  <c r="X96" i="36"/>
  <c r="L96" i="36"/>
  <c r="N96" i="36" s="1"/>
  <c r="B96" i="36"/>
  <c r="X95" i="36"/>
  <c r="Z95" i="36" s="1"/>
  <c r="N95" i="36"/>
  <c r="L95" i="36"/>
  <c r="B95" i="36"/>
  <c r="Z94" i="36"/>
  <c r="X94" i="36"/>
  <c r="L94" i="36"/>
  <c r="N94" i="36" s="1"/>
  <c r="B94" i="36"/>
  <c r="X93" i="36"/>
  <c r="Z93" i="36" s="1"/>
  <c r="L93" i="36"/>
  <c r="N93" i="36" s="1"/>
  <c r="B93" i="36"/>
  <c r="X92" i="36"/>
  <c r="Z92" i="36" s="1"/>
  <c r="N92" i="36"/>
  <c r="L92" i="36"/>
  <c r="B92" i="36"/>
  <c r="Z91" i="36"/>
  <c r="X91" i="36"/>
  <c r="L91" i="36"/>
  <c r="N91" i="36" s="1"/>
  <c r="B91" i="36"/>
  <c r="X90" i="36"/>
  <c r="Z90" i="36" s="1"/>
  <c r="N90" i="36"/>
  <c r="L90" i="36"/>
  <c r="J90" i="36"/>
  <c r="B90" i="36"/>
  <c r="T89" i="36"/>
  <c r="P89" i="36"/>
  <c r="X89" i="36" s="1"/>
  <c r="Z89" i="36" s="1"/>
  <c r="H89" i="36"/>
  <c r="D89" i="36"/>
  <c r="L89" i="36" s="1"/>
  <c r="N89" i="36" s="1"/>
  <c r="B89" i="36"/>
  <c r="X88" i="36"/>
  <c r="Z88" i="36" s="1"/>
  <c r="N88" i="36"/>
  <c r="L88" i="36"/>
  <c r="B88" i="36"/>
  <c r="T87" i="36"/>
  <c r="P87" i="36"/>
  <c r="X87" i="36" s="1"/>
  <c r="Z87" i="36" s="1"/>
  <c r="L87" i="36"/>
  <c r="J87" i="36"/>
  <c r="H87" i="36"/>
  <c r="D87" i="36"/>
  <c r="B87" i="36"/>
  <c r="Z86" i="36"/>
  <c r="X86" i="36"/>
  <c r="L86" i="36"/>
  <c r="N86" i="36" s="1"/>
  <c r="B86" i="36"/>
  <c r="X85" i="36"/>
  <c r="Z85" i="36" s="1"/>
  <c r="L85" i="36"/>
  <c r="N85" i="36" s="1"/>
  <c r="B85" i="36"/>
  <c r="X84" i="36"/>
  <c r="Z84" i="36" s="1"/>
  <c r="N84" i="36"/>
  <c r="L84" i="36"/>
  <c r="B84" i="36"/>
  <c r="Z83" i="36"/>
  <c r="X83" i="36"/>
  <c r="L83" i="36"/>
  <c r="N83" i="36" s="1"/>
  <c r="B83" i="36"/>
  <c r="X82" i="36"/>
  <c r="Z82" i="36" s="1"/>
  <c r="N82" i="36"/>
  <c r="L82" i="36"/>
  <c r="J82" i="36"/>
  <c r="B82" i="36"/>
  <c r="T81" i="36"/>
  <c r="P81" i="36"/>
  <c r="X81" i="36" s="1"/>
  <c r="N81" i="36"/>
  <c r="H81" i="36"/>
  <c r="D81" i="36"/>
  <c r="L81" i="36" s="1"/>
  <c r="B81" i="36"/>
  <c r="Z80" i="36"/>
  <c r="X80" i="36"/>
  <c r="N80" i="36"/>
  <c r="L80" i="36"/>
  <c r="B80" i="36"/>
  <c r="Z79" i="36"/>
  <c r="T79" i="36"/>
  <c r="P79" i="36"/>
  <c r="X79" i="36" s="1"/>
  <c r="L79" i="36"/>
  <c r="J79" i="36"/>
  <c r="H79" i="36"/>
  <c r="N79" i="36" s="1"/>
  <c r="D79" i="36"/>
  <c r="B79" i="36"/>
  <c r="Z78" i="36"/>
  <c r="X78" i="36"/>
  <c r="L78" i="36"/>
  <c r="N78" i="36" s="1"/>
  <c r="B78" i="36"/>
  <c r="X77" i="36"/>
  <c r="Z77" i="36" s="1"/>
  <c r="V77" i="36"/>
  <c r="L77" i="36"/>
  <c r="N77" i="36" s="1"/>
  <c r="B77" i="36"/>
  <c r="Z76" i="36"/>
  <c r="X76" i="36"/>
  <c r="N76" i="36"/>
  <c r="L76" i="36"/>
  <c r="B76" i="36"/>
  <c r="Z75" i="36"/>
  <c r="T75" i="36"/>
  <c r="P75" i="36"/>
  <c r="X75" i="36" s="1"/>
  <c r="L75" i="36"/>
  <c r="J75" i="36"/>
  <c r="H75" i="36"/>
  <c r="N75" i="36" s="1"/>
  <c r="D75" i="36"/>
  <c r="B75" i="36"/>
  <c r="Z74" i="36"/>
  <c r="X74" i="36"/>
  <c r="L74" i="36"/>
  <c r="N74" i="36" s="1"/>
  <c r="B74" i="36"/>
  <c r="X73" i="36"/>
  <c r="T73" i="36"/>
  <c r="Z73" i="36" s="1"/>
  <c r="P73" i="36"/>
  <c r="H73" i="36"/>
  <c r="D73" i="36"/>
  <c r="B73" i="36"/>
  <c r="Z72" i="36"/>
  <c r="X72" i="36"/>
  <c r="N72" i="36"/>
  <c r="L72" i="36"/>
  <c r="B72" i="36"/>
  <c r="T71" i="36"/>
  <c r="P71" i="36"/>
  <c r="H71" i="36"/>
  <c r="D71" i="36"/>
  <c r="L71" i="36" s="1"/>
  <c r="B71" i="36"/>
  <c r="X70" i="36"/>
  <c r="Z70" i="36" s="1"/>
  <c r="N70" i="36"/>
  <c r="L70" i="36"/>
  <c r="J70" i="36"/>
  <c r="B70" i="36"/>
  <c r="T69" i="36"/>
  <c r="P69" i="36"/>
  <c r="X69" i="36" s="1"/>
  <c r="H69" i="36"/>
  <c r="D69" i="36"/>
  <c r="L69" i="36" s="1"/>
  <c r="N69" i="36" s="1"/>
  <c r="B69" i="36"/>
  <c r="Z68" i="36"/>
  <c r="X68" i="36"/>
  <c r="N68" i="36"/>
  <c r="L68" i="36"/>
  <c r="B68" i="36"/>
  <c r="Z67" i="36"/>
  <c r="T67" i="36"/>
  <c r="P67" i="36"/>
  <c r="X67" i="36" s="1"/>
  <c r="L67" i="36"/>
  <c r="J67" i="36"/>
  <c r="H67" i="36"/>
  <c r="D67" i="36"/>
  <c r="B67" i="36"/>
  <c r="Z66" i="36"/>
  <c r="X66" i="36"/>
  <c r="R66" i="36"/>
  <c r="N66" i="36"/>
  <c r="L66" i="36"/>
  <c r="B66" i="36"/>
  <c r="X65" i="36"/>
  <c r="T65" i="36"/>
  <c r="Z65" i="36" s="1"/>
  <c r="P65" i="36"/>
  <c r="H65" i="36"/>
  <c r="D65" i="36"/>
  <c r="B65" i="36"/>
  <c r="Z64" i="36"/>
  <c r="X64" i="36"/>
  <c r="N64" i="36"/>
  <c r="L64" i="36"/>
  <c r="B64" i="36"/>
  <c r="T63" i="36"/>
  <c r="P63" i="36"/>
  <c r="H63" i="36"/>
  <c r="D63" i="36"/>
  <c r="L63" i="36" s="1"/>
  <c r="B63" i="36"/>
  <c r="Z62" i="36"/>
  <c r="X62" i="36"/>
  <c r="N62" i="36"/>
  <c r="L62" i="36"/>
  <c r="J62" i="36"/>
  <c r="B62" i="36"/>
  <c r="T61" i="36"/>
  <c r="Z61" i="36" s="1"/>
  <c r="P61" i="36"/>
  <c r="X61" i="36" s="1"/>
  <c r="N61" i="36"/>
  <c r="H61" i="36"/>
  <c r="D61" i="36"/>
  <c r="L61" i="36" s="1"/>
  <c r="B61" i="36"/>
  <c r="X60" i="36"/>
  <c r="Z60" i="36" s="1"/>
  <c r="N60" i="36"/>
  <c r="L60" i="36"/>
  <c r="B60" i="36"/>
  <c r="T59" i="36"/>
  <c r="P59" i="36"/>
  <c r="X59" i="36" s="1"/>
  <c r="Z59" i="36" s="1"/>
  <c r="L59" i="36"/>
  <c r="J59" i="36"/>
  <c r="H59" i="36"/>
  <c r="N59" i="36" s="1"/>
  <c r="D59" i="36"/>
  <c r="B59" i="36"/>
  <c r="Z58" i="36"/>
  <c r="X58" i="36"/>
  <c r="V58" i="36"/>
  <c r="N58" i="36"/>
  <c r="L58" i="36"/>
  <c r="B58" i="36"/>
  <c r="Z57" i="36"/>
  <c r="X57" i="36"/>
  <c r="N57" i="36"/>
  <c r="L57" i="36"/>
  <c r="B57" i="36"/>
  <c r="Z56" i="36"/>
  <c r="X56" i="36"/>
  <c r="T56" i="36"/>
  <c r="P56" i="36"/>
  <c r="H56" i="36"/>
  <c r="D56" i="36"/>
  <c r="B56" i="36"/>
  <c r="X55" i="36"/>
  <c r="Z55" i="36" s="1"/>
  <c r="N55" i="36"/>
  <c r="L55" i="36"/>
  <c r="B55" i="36"/>
  <c r="V54" i="36"/>
  <c r="T54" i="36"/>
  <c r="P54" i="36"/>
  <c r="X54" i="36" s="1"/>
  <c r="H54" i="36"/>
  <c r="D54" i="36"/>
  <c r="L54" i="36" s="1"/>
  <c r="N54" i="36" s="1"/>
  <c r="B54" i="36"/>
  <c r="X53" i="36"/>
  <c r="Z53" i="36" s="1"/>
  <c r="L53" i="36"/>
  <c r="N53" i="36" s="1"/>
  <c r="J53" i="36"/>
  <c r="B53" i="36"/>
  <c r="T52" i="36"/>
  <c r="P52" i="36"/>
  <c r="X52" i="36" s="1"/>
  <c r="Z52" i="36" s="1"/>
  <c r="L52" i="36"/>
  <c r="N52" i="36" s="1"/>
  <c r="H52" i="36"/>
  <c r="D52" i="36"/>
  <c r="B52" i="36"/>
  <c r="Z51" i="36"/>
  <c r="X51" i="36"/>
  <c r="L51" i="36"/>
  <c r="N51" i="36" s="1"/>
  <c r="B51" i="36"/>
  <c r="X50" i="36"/>
  <c r="Z50" i="36" s="1"/>
  <c r="T50" i="36"/>
  <c r="P50" i="36"/>
  <c r="L50" i="36"/>
  <c r="N50" i="36" s="1"/>
  <c r="H50" i="36"/>
  <c r="D50" i="36"/>
  <c r="B50" i="36"/>
  <c r="Z49" i="36"/>
  <c r="X49" i="36"/>
  <c r="N49" i="36"/>
  <c r="L49" i="36"/>
  <c r="B49" i="36"/>
  <c r="Z48" i="36"/>
  <c r="X48" i="36"/>
  <c r="N48" i="36"/>
  <c r="L48" i="36"/>
  <c r="B48" i="36"/>
  <c r="Z47" i="36"/>
  <c r="X47" i="36"/>
  <c r="L47" i="36"/>
  <c r="N47" i="36" s="1"/>
  <c r="B47" i="36"/>
  <c r="X46" i="36"/>
  <c r="Z46" i="36" s="1"/>
  <c r="N46" i="36"/>
  <c r="L46" i="36"/>
  <c r="J46" i="36"/>
  <c r="B46" i="36"/>
  <c r="Z45" i="36"/>
  <c r="X45" i="36"/>
  <c r="N45" i="36"/>
  <c r="L45" i="36"/>
  <c r="J45" i="36"/>
  <c r="B45" i="36"/>
  <c r="Z44" i="36"/>
  <c r="X44" i="36"/>
  <c r="N44" i="36"/>
  <c r="L44" i="36"/>
  <c r="B44" i="36"/>
  <c r="X43" i="36"/>
  <c r="Z43" i="36" s="1"/>
  <c r="N43" i="36"/>
  <c r="L43" i="36"/>
  <c r="B43" i="36"/>
  <c r="Z42" i="36"/>
  <c r="X42" i="36"/>
  <c r="R42" i="36"/>
  <c r="N42" i="36"/>
  <c r="L42" i="36"/>
  <c r="B42" i="36"/>
  <c r="X41" i="36"/>
  <c r="Z41" i="36" s="1"/>
  <c r="V41" i="36"/>
  <c r="L41" i="36"/>
  <c r="N41" i="36" s="1"/>
  <c r="B41" i="36"/>
  <c r="Z40" i="36"/>
  <c r="X40" i="36"/>
  <c r="N40" i="36"/>
  <c r="L40" i="36"/>
  <c r="B40" i="36"/>
  <c r="Z39" i="36"/>
  <c r="T39" i="36"/>
  <c r="P39" i="36"/>
  <c r="X39" i="36" s="1"/>
  <c r="L39" i="36"/>
  <c r="J39" i="36"/>
  <c r="H39" i="36"/>
  <c r="D39" i="36"/>
  <c r="B39" i="36"/>
  <c r="Z38" i="36"/>
  <c r="X38" i="36"/>
  <c r="R38" i="36"/>
  <c r="L38" i="36"/>
  <c r="N38" i="36" s="1"/>
  <c r="B38" i="36"/>
  <c r="X37" i="36"/>
  <c r="Z37" i="36" s="1"/>
  <c r="L37" i="36"/>
  <c r="N37" i="36" s="1"/>
  <c r="B37" i="36"/>
  <c r="X36" i="36"/>
  <c r="Z36" i="36" s="1"/>
  <c r="N36" i="36"/>
  <c r="L36" i="36"/>
  <c r="B36" i="36"/>
  <c r="Z35" i="36"/>
  <c r="X35" i="36"/>
  <c r="N35" i="36"/>
  <c r="L35" i="36"/>
  <c r="B35" i="36"/>
  <c r="Z34" i="36"/>
  <c r="X34" i="36"/>
  <c r="N34" i="36"/>
  <c r="L34" i="36"/>
  <c r="J34" i="36"/>
  <c r="B34" i="36"/>
  <c r="X33" i="36"/>
  <c r="Z33" i="36" s="1"/>
  <c r="L33" i="36"/>
  <c r="N33" i="36" s="1"/>
  <c r="J33" i="36"/>
  <c r="B33" i="36"/>
  <c r="Z32" i="36"/>
  <c r="X32" i="36"/>
  <c r="L32" i="36"/>
  <c r="N32" i="36" s="1"/>
  <c r="B32" i="36"/>
  <c r="X31" i="36"/>
  <c r="Z31" i="36" s="1"/>
  <c r="N31" i="36"/>
  <c r="L31" i="36"/>
  <c r="B31" i="36"/>
  <c r="Z30" i="36"/>
  <c r="X30" i="36"/>
  <c r="L30" i="36"/>
  <c r="N30" i="36" s="1"/>
  <c r="B30" i="36"/>
  <c r="X29" i="36"/>
  <c r="Z29" i="36" s="1"/>
  <c r="L29" i="36"/>
  <c r="N29" i="36" s="1"/>
  <c r="B29" i="36"/>
  <c r="X28" i="36"/>
  <c r="Z28" i="36" s="1"/>
  <c r="T28" i="36"/>
  <c r="P28" i="36"/>
  <c r="J28" i="36"/>
  <c r="H28" i="36"/>
  <c r="D28" i="36"/>
  <c r="L28" i="36" s="1"/>
  <c r="B28" i="36"/>
  <c r="T27" i="36"/>
  <c r="P27" i="36"/>
  <c r="H27" i="36"/>
  <c r="D27" i="36"/>
  <c r="L27" i="36" s="1"/>
  <c r="Z23" i="36"/>
  <c r="X23" i="36"/>
  <c r="N23" i="36"/>
  <c r="L23" i="36"/>
  <c r="B23" i="36"/>
  <c r="Z22" i="36"/>
  <c r="X22" i="36"/>
  <c r="N22" i="36"/>
  <c r="L22" i="36"/>
  <c r="B22" i="36"/>
  <c r="X21" i="36"/>
  <c r="Z21" i="36" s="1"/>
  <c r="L21" i="36"/>
  <c r="N21" i="36" s="1"/>
  <c r="B21" i="36"/>
  <c r="X20" i="36"/>
  <c r="Z20" i="36" s="1"/>
  <c r="T20" i="36"/>
  <c r="P20" i="36"/>
  <c r="H20" i="36"/>
  <c r="D20" i="36"/>
  <c r="L20" i="36" s="1"/>
  <c r="Z18" i="36"/>
  <c r="P18" i="36"/>
  <c r="X18" i="36" s="1"/>
  <c r="N18" i="36"/>
  <c r="D18" i="36"/>
  <c r="L18" i="36" s="1"/>
  <c r="B18" i="36"/>
  <c r="Z17" i="36"/>
  <c r="X17" i="36"/>
  <c r="P17" i="36"/>
  <c r="N17" i="36"/>
  <c r="D17" i="36"/>
  <c r="L17" i="36" s="1"/>
  <c r="B17" i="36"/>
  <c r="P16" i="36"/>
  <c r="X16" i="36" s="1"/>
  <c r="Z16" i="36" s="1"/>
  <c r="L16" i="36"/>
  <c r="N16" i="36" s="1"/>
  <c r="D16" i="36"/>
  <c r="B16" i="36"/>
  <c r="Z15" i="36"/>
  <c r="X15" i="36"/>
  <c r="P15" i="36"/>
  <c r="N15" i="36"/>
  <c r="D15" i="36"/>
  <c r="L15" i="36" s="1"/>
  <c r="B15" i="36"/>
  <c r="Z14" i="36"/>
  <c r="X14" i="36"/>
  <c r="P14" i="36"/>
  <c r="N14" i="36"/>
  <c r="L14" i="36"/>
  <c r="D14" i="36"/>
  <c r="B14" i="36"/>
  <c r="P13" i="36"/>
  <c r="X13" i="36" s="1"/>
  <c r="Z13" i="36" s="1"/>
  <c r="D13" i="36"/>
  <c r="L13" i="36" s="1"/>
  <c r="N13" i="36" s="1"/>
  <c r="B13" i="36"/>
  <c r="T12" i="36"/>
  <c r="V105" i="36" s="1"/>
  <c r="P12" i="36"/>
  <c r="R78" i="36" s="1"/>
  <c r="H12" i="36"/>
  <c r="D4" i="36"/>
  <c r="B39" i="35"/>
  <c r="B38" i="35"/>
  <c r="T34" i="35"/>
  <c r="P34" i="35"/>
  <c r="H34" i="35"/>
  <c r="N34" i="35" s="1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H24" i="35"/>
  <c r="N24" i="35" s="1"/>
  <c r="D24" i="35"/>
  <c r="T22" i="35"/>
  <c r="Z22" i="35" s="1"/>
  <c r="P22" i="35"/>
  <c r="H22" i="35"/>
  <c r="N22" i="35" s="1"/>
  <c r="D22" i="35"/>
  <c r="B22" i="35"/>
  <c r="T21" i="35"/>
  <c r="Z21" i="35" s="1"/>
  <c r="P21" i="35"/>
  <c r="H21" i="35"/>
  <c r="D21" i="35"/>
  <c r="B21" i="35"/>
  <c r="T20" i="35"/>
  <c r="Z20" i="35" s="1"/>
  <c r="P20" i="35"/>
  <c r="H20" i="35"/>
  <c r="N20" i="35" s="1"/>
  <c r="D20" i="35"/>
  <c r="T16" i="35"/>
  <c r="Z16" i="35" s="1"/>
  <c r="P16" i="35"/>
  <c r="H16" i="35"/>
  <c r="D16" i="35"/>
  <c r="B16" i="35"/>
  <c r="T15" i="35"/>
  <c r="Z15" i="35" s="1"/>
  <c r="P15" i="35"/>
  <c r="H15" i="35"/>
  <c r="N15" i="35" s="1"/>
  <c r="D15" i="35"/>
  <c r="T13" i="35"/>
  <c r="Z13" i="35" s="1"/>
  <c r="P13" i="35"/>
  <c r="H13" i="35"/>
  <c r="N13" i="35" s="1"/>
  <c r="D13" i="35"/>
  <c r="B13" i="35"/>
  <c r="T12" i="35"/>
  <c r="V21" i="35" s="1"/>
  <c r="P12" i="35"/>
  <c r="R27" i="35" s="1"/>
  <c r="H12" i="35"/>
  <c r="J22" i="35" s="1"/>
  <c r="D12" i="35"/>
  <c r="F25" i="35" s="1"/>
  <c r="D5" i="35"/>
  <c r="D4" i="35"/>
  <c r="B39" i="34"/>
  <c r="B38" i="34"/>
  <c r="T34" i="34"/>
  <c r="Z34" i="34" s="1"/>
  <c r="P34" i="34"/>
  <c r="H34" i="34"/>
  <c r="N34" i="34" s="1"/>
  <c r="D34" i="34"/>
  <c r="T33" i="34"/>
  <c r="Z33" i="34" s="1"/>
  <c r="P33" i="34"/>
  <c r="H33" i="34"/>
  <c r="N33" i="34" s="1"/>
  <c r="D33" i="34"/>
  <c r="T29" i="34"/>
  <c r="Z29" i="34" s="1"/>
  <c r="P29" i="34"/>
  <c r="H29" i="34"/>
  <c r="N29" i="34" s="1"/>
  <c r="D29" i="34"/>
  <c r="T25" i="34"/>
  <c r="Z25" i="34" s="1"/>
  <c r="P25" i="34"/>
  <c r="H25" i="34"/>
  <c r="N25" i="34" s="1"/>
  <c r="D25" i="34"/>
  <c r="B25" i="34"/>
  <c r="T24" i="34"/>
  <c r="Z24" i="34" s="1"/>
  <c r="P24" i="34"/>
  <c r="H24" i="34"/>
  <c r="D24" i="34"/>
  <c r="T22" i="34"/>
  <c r="Z22" i="34" s="1"/>
  <c r="P22" i="34"/>
  <c r="H22" i="34"/>
  <c r="N22" i="34" s="1"/>
  <c r="D22" i="34"/>
  <c r="B22" i="34"/>
  <c r="T21" i="34"/>
  <c r="Z21" i="34" s="1"/>
  <c r="P21" i="34"/>
  <c r="H21" i="34"/>
  <c r="N21" i="34" s="1"/>
  <c r="D21" i="34"/>
  <c r="B21" i="34"/>
  <c r="T20" i="34"/>
  <c r="P20" i="34"/>
  <c r="H20" i="34"/>
  <c r="N20" i="34" s="1"/>
  <c r="D20" i="34"/>
  <c r="T16" i="34"/>
  <c r="P16" i="34"/>
  <c r="H16" i="34"/>
  <c r="N16" i="34" s="1"/>
  <c r="D16" i="34"/>
  <c r="B16" i="34"/>
  <c r="T15" i="34"/>
  <c r="Z15" i="34" s="1"/>
  <c r="P15" i="34"/>
  <c r="H15" i="34"/>
  <c r="N15" i="34" s="1"/>
  <c r="D15" i="34"/>
  <c r="T13" i="34"/>
  <c r="Z13" i="34" s="1"/>
  <c r="P13" i="34"/>
  <c r="H13" i="34"/>
  <c r="D13" i="34"/>
  <c r="B13" i="34"/>
  <c r="T12" i="34"/>
  <c r="V27" i="34" s="1"/>
  <c r="P12" i="34"/>
  <c r="H12" i="34"/>
  <c r="J20" i="34" s="1"/>
  <c r="D12" i="34"/>
  <c r="F21" i="34" s="1"/>
  <c r="D5" i="34"/>
  <c r="D4" i="34"/>
  <c r="Z76" i="33"/>
  <c r="X76" i="33"/>
  <c r="V76" i="33"/>
  <c r="L76" i="33"/>
  <c r="N76" i="33" s="1"/>
  <c r="P72" i="33"/>
  <c r="J72" i="33"/>
  <c r="D72" i="33"/>
  <c r="L72" i="33" s="1"/>
  <c r="N72" i="33" s="1"/>
  <c r="B72" i="33"/>
  <c r="T71" i="33"/>
  <c r="V71" i="33" s="1"/>
  <c r="H71" i="33"/>
  <c r="Z69" i="33"/>
  <c r="X69" i="33"/>
  <c r="V69" i="33"/>
  <c r="L69" i="33"/>
  <c r="N69" i="33" s="1"/>
  <c r="B69" i="33"/>
  <c r="T68" i="33"/>
  <c r="P68" i="33"/>
  <c r="H68" i="33"/>
  <c r="D68" i="33"/>
  <c r="L68" i="33" s="1"/>
  <c r="B68" i="33"/>
  <c r="X67" i="33"/>
  <c r="Z67" i="33" s="1"/>
  <c r="V67" i="33"/>
  <c r="N67" i="33"/>
  <c r="L67" i="33"/>
  <c r="J67" i="33"/>
  <c r="F67" i="33"/>
  <c r="B67" i="33"/>
  <c r="X66" i="33"/>
  <c r="Z66" i="33" s="1"/>
  <c r="L66" i="33"/>
  <c r="N66" i="33" s="1"/>
  <c r="J66" i="33"/>
  <c r="B66" i="33"/>
  <c r="Z65" i="33"/>
  <c r="X65" i="33"/>
  <c r="V65" i="33"/>
  <c r="L65" i="33"/>
  <c r="N65" i="33" s="1"/>
  <c r="B65" i="33"/>
  <c r="Z64" i="33"/>
  <c r="X64" i="33"/>
  <c r="N64" i="33"/>
  <c r="L64" i="33"/>
  <c r="B64" i="33"/>
  <c r="V63" i="33"/>
  <c r="T63" i="33"/>
  <c r="P63" i="33"/>
  <c r="X63" i="33" s="1"/>
  <c r="N63" i="33"/>
  <c r="H63" i="33"/>
  <c r="D63" i="33"/>
  <c r="L63" i="33" s="1"/>
  <c r="B63" i="33"/>
  <c r="X62" i="33"/>
  <c r="Z62" i="33" s="1"/>
  <c r="L62" i="33"/>
  <c r="N62" i="33" s="1"/>
  <c r="J62" i="33"/>
  <c r="B62" i="33"/>
  <c r="V61" i="33"/>
  <c r="T61" i="33"/>
  <c r="P61" i="33"/>
  <c r="X61" i="33" s="1"/>
  <c r="Z61" i="33" s="1"/>
  <c r="L61" i="33"/>
  <c r="N61" i="33" s="1"/>
  <c r="J61" i="33"/>
  <c r="H61" i="33"/>
  <c r="D61" i="33"/>
  <c r="B61" i="33"/>
  <c r="Z60" i="33"/>
  <c r="X60" i="33"/>
  <c r="V60" i="33"/>
  <c r="N60" i="33"/>
  <c r="L60" i="33"/>
  <c r="B60" i="33"/>
  <c r="X59" i="33"/>
  <c r="Z59" i="33" s="1"/>
  <c r="V59" i="33"/>
  <c r="N59" i="33"/>
  <c r="L59" i="33"/>
  <c r="J59" i="33"/>
  <c r="B59" i="33"/>
  <c r="X58" i="33"/>
  <c r="Z58" i="33" s="1"/>
  <c r="L58" i="33"/>
  <c r="N58" i="33" s="1"/>
  <c r="J58" i="33"/>
  <c r="B58" i="33"/>
  <c r="V57" i="33"/>
  <c r="T57" i="33"/>
  <c r="P57" i="33"/>
  <c r="X57" i="33" s="1"/>
  <c r="Z57" i="33" s="1"/>
  <c r="L57" i="33"/>
  <c r="N57" i="33" s="1"/>
  <c r="J57" i="33"/>
  <c r="H57" i="33"/>
  <c r="D57" i="33"/>
  <c r="B57" i="33"/>
  <c r="Z56" i="33"/>
  <c r="X56" i="33"/>
  <c r="V56" i="33"/>
  <c r="N56" i="33"/>
  <c r="L56" i="33"/>
  <c r="B56" i="33"/>
  <c r="Z55" i="33"/>
  <c r="X55" i="33"/>
  <c r="V55" i="33"/>
  <c r="T55" i="33"/>
  <c r="P55" i="33"/>
  <c r="N55" i="33"/>
  <c r="L55" i="33"/>
  <c r="H55" i="33"/>
  <c r="D55" i="33"/>
  <c r="B55" i="33"/>
  <c r="X54" i="33"/>
  <c r="Z54" i="33" s="1"/>
  <c r="V54" i="33"/>
  <c r="L54" i="33"/>
  <c r="N54" i="33" s="1"/>
  <c r="B54" i="33"/>
  <c r="X53" i="33"/>
  <c r="Z53" i="33" s="1"/>
  <c r="V53" i="33"/>
  <c r="N53" i="33"/>
  <c r="L53" i="33"/>
  <c r="B53" i="33"/>
  <c r="Z52" i="33"/>
  <c r="T52" i="33"/>
  <c r="V52" i="33" s="1"/>
  <c r="P52" i="33"/>
  <c r="X52" i="33" s="1"/>
  <c r="L52" i="33"/>
  <c r="J52" i="33"/>
  <c r="H52" i="33"/>
  <c r="N52" i="33" s="1"/>
  <c r="D52" i="33"/>
  <c r="B52" i="33"/>
  <c r="Z51" i="33"/>
  <c r="X51" i="33"/>
  <c r="V51" i="33"/>
  <c r="L51" i="33"/>
  <c r="N51" i="33" s="1"/>
  <c r="J51" i="33"/>
  <c r="B51" i="33"/>
  <c r="V50" i="33"/>
  <c r="T50" i="33"/>
  <c r="P50" i="33"/>
  <c r="X50" i="33" s="1"/>
  <c r="H50" i="33"/>
  <c r="D50" i="33"/>
  <c r="B50" i="33"/>
  <c r="Z49" i="33"/>
  <c r="X49" i="33"/>
  <c r="V49" i="33"/>
  <c r="L49" i="33"/>
  <c r="N49" i="33" s="1"/>
  <c r="B49" i="33"/>
  <c r="T48" i="33"/>
  <c r="P48" i="33"/>
  <c r="L48" i="33"/>
  <c r="H48" i="33"/>
  <c r="D48" i="33"/>
  <c r="B48" i="33"/>
  <c r="X47" i="33"/>
  <c r="Z47" i="33" s="1"/>
  <c r="V47" i="33"/>
  <c r="N47" i="33"/>
  <c r="L47" i="33"/>
  <c r="J47" i="33"/>
  <c r="B47" i="33"/>
  <c r="T46" i="33"/>
  <c r="P46" i="33"/>
  <c r="X46" i="33" s="1"/>
  <c r="H46" i="33"/>
  <c r="D46" i="33"/>
  <c r="L46" i="33" s="1"/>
  <c r="B46" i="33"/>
  <c r="Z45" i="33"/>
  <c r="X45" i="33"/>
  <c r="V45" i="33"/>
  <c r="N45" i="33"/>
  <c r="L45" i="33"/>
  <c r="B45" i="33"/>
  <c r="Z44" i="33"/>
  <c r="X44" i="33"/>
  <c r="V44" i="33"/>
  <c r="N44" i="33"/>
  <c r="L44" i="33"/>
  <c r="B44" i="33"/>
  <c r="Z43" i="33"/>
  <c r="X43" i="33"/>
  <c r="V43" i="33"/>
  <c r="N43" i="33"/>
  <c r="L43" i="33"/>
  <c r="J43" i="33"/>
  <c r="B43" i="33"/>
  <c r="X42" i="33"/>
  <c r="Z42" i="33" s="1"/>
  <c r="L42" i="33"/>
  <c r="N42" i="33" s="1"/>
  <c r="J42" i="33"/>
  <c r="B42" i="33"/>
  <c r="Z41" i="33"/>
  <c r="X41" i="33"/>
  <c r="V41" i="33"/>
  <c r="N41" i="33"/>
  <c r="L41" i="33"/>
  <c r="B41" i="33"/>
  <c r="Z40" i="33"/>
  <c r="X40" i="33"/>
  <c r="N40" i="33"/>
  <c r="L40" i="33"/>
  <c r="B40" i="33"/>
  <c r="Z39" i="33"/>
  <c r="X39" i="33"/>
  <c r="V39" i="33"/>
  <c r="N39" i="33"/>
  <c r="L39" i="33"/>
  <c r="J39" i="33"/>
  <c r="B39" i="33"/>
  <c r="Z38" i="33"/>
  <c r="X38" i="33"/>
  <c r="V38" i="33"/>
  <c r="N38" i="33"/>
  <c r="L38" i="33"/>
  <c r="B38" i="33"/>
  <c r="X37" i="33"/>
  <c r="Z37" i="33" s="1"/>
  <c r="V37" i="33"/>
  <c r="N37" i="33"/>
  <c r="L37" i="33"/>
  <c r="B37" i="33"/>
  <c r="Z36" i="33"/>
  <c r="X36" i="33"/>
  <c r="V36" i="33"/>
  <c r="N36" i="33"/>
  <c r="L36" i="33"/>
  <c r="B36" i="33"/>
  <c r="X35" i="33"/>
  <c r="Z35" i="33" s="1"/>
  <c r="V35" i="33"/>
  <c r="T35" i="33"/>
  <c r="P35" i="33"/>
  <c r="L35" i="33"/>
  <c r="N35" i="33" s="1"/>
  <c r="H35" i="33"/>
  <c r="D35" i="33"/>
  <c r="B35" i="33"/>
  <c r="X34" i="33"/>
  <c r="Z34" i="33" s="1"/>
  <c r="V34" i="33"/>
  <c r="L34" i="33"/>
  <c r="N34" i="33" s="1"/>
  <c r="B34" i="33"/>
  <c r="Z33" i="33"/>
  <c r="X33" i="33"/>
  <c r="V33" i="33"/>
  <c r="N33" i="33"/>
  <c r="L33" i="33"/>
  <c r="J33" i="33"/>
  <c r="B33" i="33"/>
  <c r="Z32" i="33"/>
  <c r="X32" i="33"/>
  <c r="V32" i="33"/>
  <c r="L32" i="33"/>
  <c r="N32" i="33" s="1"/>
  <c r="B32" i="33"/>
  <c r="Z31" i="33"/>
  <c r="X31" i="33"/>
  <c r="V31" i="33"/>
  <c r="N31" i="33"/>
  <c r="L31" i="33"/>
  <c r="J31" i="33"/>
  <c r="B31" i="33"/>
  <c r="X30" i="33"/>
  <c r="Z30" i="33" s="1"/>
  <c r="L30" i="33"/>
  <c r="N30" i="33" s="1"/>
  <c r="J30" i="33"/>
  <c r="B30" i="33"/>
  <c r="Z29" i="33"/>
  <c r="X29" i="33"/>
  <c r="V29" i="33"/>
  <c r="N29" i="33"/>
  <c r="L29" i="33"/>
  <c r="B29" i="33"/>
  <c r="X28" i="33"/>
  <c r="Z28" i="33" s="1"/>
  <c r="N28" i="33"/>
  <c r="L28" i="33"/>
  <c r="B28" i="33"/>
  <c r="Z27" i="33"/>
  <c r="X27" i="33"/>
  <c r="V27" i="33"/>
  <c r="L27" i="33"/>
  <c r="N27" i="33" s="1"/>
  <c r="J27" i="33"/>
  <c r="B27" i="33"/>
  <c r="X26" i="33"/>
  <c r="Z26" i="33" s="1"/>
  <c r="V26" i="33"/>
  <c r="L26" i="33"/>
  <c r="N26" i="33" s="1"/>
  <c r="B26" i="33"/>
  <c r="X25" i="33"/>
  <c r="Z25" i="33" s="1"/>
  <c r="T25" i="33"/>
  <c r="V25" i="33" s="1"/>
  <c r="P25" i="33"/>
  <c r="H25" i="33"/>
  <c r="D25" i="33"/>
  <c r="L25" i="33" s="1"/>
  <c r="B25" i="33"/>
  <c r="T24" i="33"/>
  <c r="P24" i="33"/>
  <c r="L24" i="33"/>
  <c r="H24" i="33"/>
  <c r="D24" i="33"/>
  <c r="Z20" i="33"/>
  <c r="X20" i="33"/>
  <c r="N20" i="33"/>
  <c r="L20" i="33"/>
  <c r="B20" i="33"/>
  <c r="T19" i="33"/>
  <c r="P19" i="33"/>
  <c r="N19" i="33"/>
  <c r="J19" i="33"/>
  <c r="H19" i="33"/>
  <c r="F19" i="33"/>
  <c r="D19" i="33"/>
  <c r="L19" i="33" s="1"/>
  <c r="Z17" i="33"/>
  <c r="P17" i="33"/>
  <c r="X17" i="33" s="1"/>
  <c r="N17" i="33"/>
  <c r="L17" i="33"/>
  <c r="D17" i="33"/>
  <c r="B17" i="33"/>
  <c r="Z16" i="33"/>
  <c r="P16" i="33"/>
  <c r="X16" i="33" s="1"/>
  <c r="N16" i="33"/>
  <c r="D16" i="33"/>
  <c r="L16" i="33" s="1"/>
  <c r="B16" i="33"/>
  <c r="Z15" i="33"/>
  <c r="X15" i="33"/>
  <c r="P15" i="33"/>
  <c r="N15" i="33"/>
  <c r="L15" i="33"/>
  <c r="D15" i="33"/>
  <c r="B15" i="33"/>
  <c r="P14" i="33"/>
  <c r="X14" i="33" s="1"/>
  <c r="Z14" i="33" s="1"/>
  <c r="D14" i="33"/>
  <c r="L14" i="33" s="1"/>
  <c r="N14" i="33" s="1"/>
  <c r="B14" i="33"/>
  <c r="P13" i="33"/>
  <c r="N13" i="33"/>
  <c r="D13" i="33"/>
  <c r="L13" i="33" s="1"/>
  <c r="B13" i="33"/>
  <c r="T12" i="33"/>
  <c r="V66" i="33" s="1"/>
  <c r="H12" i="33"/>
  <c r="J69" i="33" s="1"/>
  <c r="D12" i="33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P24" i="32"/>
  <c r="H24" i="32"/>
  <c r="N24" i="32" s="1"/>
  <c r="D24" i="32"/>
  <c r="T22" i="32"/>
  <c r="Z22" i="32" s="1"/>
  <c r="P22" i="32"/>
  <c r="H22" i="32"/>
  <c r="N22" i="32" s="1"/>
  <c r="D22" i="32"/>
  <c r="B22" i="32"/>
  <c r="T21" i="32"/>
  <c r="Z21" i="32" s="1"/>
  <c r="P21" i="32"/>
  <c r="H21" i="32"/>
  <c r="N21" i="32" s="1"/>
  <c r="D21" i="32"/>
  <c r="B21" i="32"/>
  <c r="T20" i="32"/>
  <c r="Z20" i="32" s="1"/>
  <c r="P20" i="32"/>
  <c r="H20" i="32"/>
  <c r="N20" i="32" s="1"/>
  <c r="D20" i="32"/>
  <c r="T16" i="32"/>
  <c r="Z16" i="32" s="1"/>
  <c r="P16" i="32"/>
  <c r="H16" i="32"/>
  <c r="N16" i="32" s="1"/>
  <c r="D16" i="32"/>
  <c r="B16" i="32"/>
  <c r="T15" i="32"/>
  <c r="Z15" i="32" s="1"/>
  <c r="P15" i="32"/>
  <c r="H15" i="32"/>
  <c r="D15" i="32"/>
  <c r="T13" i="32"/>
  <c r="Z13" i="32" s="1"/>
  <c r="P13" i="32"/>
  <c r="H13" i="32"/>
  <c r="N13" i="32" s="1"/>
  <c r="D13" i="32"/>
  <c r="B13" i="32"/>
  <c r="T12" i="32"/>
  <c r="P12" i="32"/>
  <c r="R24" i="32" s="1"/>
  <c r="H12" i="32"/>
  <c r="J20" i="32" s="1"/>
  <c r="D12" i="32"/>
  <c r="D5" i="32"/>
  <c r="D4" i="32"/>
  <c r="B39" i="31"/>
  <c r="B38" i="31"/>
  <c r="T34" i="31"/>
  <c r="Z34" i="31" s="1"/>
  <c r="P34" i="31"/>
  <c r="H34" i="31"/>
  <c r="N34" i="31" s="1"/>
  <c r="D34" i="31"/>
  <c r="T33" i="31"/>
  <c r="Z33" i="31" s="1"/>
  <c r="P33" i="31"/>
  <c r="H33" i="31"/>
  <c r="N33" i="31" s="1"/>
  <c r="D33" i="31"/>
  <c r="T29" i="31"/>
  <c r="Z29" i="31" s="1"/>
  <c r="P29" i="31"/>
  <c r="H29" i="31"/>
  <c r="N29" i="31" s="1"/>
  <c r="D29" i="31"/>
  <c r="T25" i="31"/>
  <c r="Z25" i="31" s="1"/>
  <c r="P25" i="31"/>
  <c r="H25" i="31"/>
  <c r="N25" i="31" s="1"/>
  <c r="D25" i="31"/>
  <c r="B25" i="31"/>
  <c r="T24" i="31"/>
  <c r="Z24" i="31" s="1"/>
  <c r="P24" i="31"/>
  <c r="H24" i="31"/>
  <c r="N24" i="31" s="1"/>
  <c r="D24" i="31"/>
  <c r="T22" i="31"/>
  <c r="Z22" i="31" s="1"/>
  <c r="P22" i="31"/>
  <c r="H22" i="31"/>
  <c r="N22" i="31" s="1"/>
  <c r="D22" i="31"/>
  <c r="B22" i="31"/>
  <c r="T21" i="31"/>
  <c r="Z21" i="31" s="1"/>
  <c r="P21" i="31"/>
  <c r="H21" i="31"/>
  <c r="N21" i="31" s="1"/>
  <c r="D21" i="31"/>
  <c r="B21" i="31"/>
  <c r="T20" i="31"/>
  <c r="Z20" i="31" s="1"/>
  <c r="P20" i="31"/>
  <c r="H20" i="31"/>
  <c r="N20" i="31" s="1"/>
  <c r="D20" i="31"/>
  <c r="T16" i="31"/>
  <c r="Z16" i="31" s="1"/>
  <c r="P16" i="31"/>
  <c r="H16" i="31"/>
  <c r="N16" i="31" s="1"/>
  <c r="D16" i="31"/>
  <c r="B16" i="31"/>
  <c r="T15" i="31"/>
  <c r="Z15" i="31" s="1"/>
  <c r="P15" i="31"/>
  <c r="H15" i="31"/>
  <c r="N15" i="31" s="1"/>
  <c r="D15" i="31"/>
  <c r="T13" i="31"/>
  <c r="Z13" i="31" s="1"/>
  <c r="P13" i="31"/>
  <c r="H13" i="31"/>
  <c r="N13" i="31" s="1"/>
  <c r="D13" i="31"/>
  <c r="B13" i="31"/>
  <c r="T12" i="31"/>
  <c r="V15" i="31" s="1"/>
  <c r="P12" i="31"/>
  <c r="R18" i="31" s="1"/>
  <c r="H12" i="31"/>
  <c r="D12" i="31"/>
  <c r="F25" i="31" s="1"/>
  <c r="D5" i="31"/>
  <c r="D4" i="31"/>
  <c r="Z121" i="30"/>
  <c r="X121" i="30"/>
  <c r="N121" i="30"/>
  <c r="L121" i="30"/>
  <c r="Z117" i="30"/>
  <c r="V117" i="30"/>
  <c r="P117" i="30"/>
  <c r="X117" i="30" s="1"/>
  <c r="N117" i="30"/>
  <c r="L117" i="30"/>
  <c r="D117" i="30"/>
  <c r="B117" i="30"/>
  <c r="Z116" i="30"/>
  <c r="X116" i="30"/>
  <c r="P116" i="30"/>
  <c r="N116" i="30"/>
  <c r="D116" i="30"/>
  <c r="L116" i="30" s="1"/>
  <c r="B116" i="30"/>
  <c r="Z115" i="30"/>
  <c r="X115" i="30"/>
  <c r="V115" i="30"/>
  <c r="P115" i="30"/>
  <c r="D115" i="30"/>
  <c r="B115" i="30"/>
  <c r="T114" i="30"/>
  <c r="P114" i="30"/>
  <c r="X114" i="30" s="1"/>
  <c r="H114" i="30"/>
  <c r="X112" i="30"/>
  <c r="Z112" i="30" s="1"/>
  <c r="L112" i="30"/>
  <c r="N112" i="30" s="1"/>
  <c r="B112" i="30"/>
  <c r="Z111" i="30"/>
  <c r="X111" i="30"/>
  <c r="V111" i="30"/>
  <c r="T111" i="30"/>
  <c r="P111" i="30"/>
  <c r="L111" i="30"/>
  <c r="H111" i="30"/>
  <c r="N111" i="30" s="1"/>
  <c r="D111" i="30"/>
  <c r="B111" i="30"/>
  <c r="X110" i="30"/>
  <c r="Z110" i="30" s="1"/>
  <c r="N110" i="30"/>
  <c r="L110" i="30"/>
  <c r="B110" i="30"/>
  <c r="X109" i="30"/>
  <c r="Z109" i="30" s="1"/>
  <c r="N109" i="30"/>
  <c r="L109" i="30"/>
  <c r="J109" i="30"/>
  <c r="B109" i="30"/>
  <c r="T108" i="30"/>
  <c r="P108" i="30"/>
  <c r="J108" i="30"/>
  <c r="H108" i="30"/>
  <c r="D108" i="30"/>
  <c r="L108" i="30" s="1"/>
  <c r="B108" i="30"/>
  <c r="Z107" i="30"/>
  <c r="X107" i="30"/>
  <c r="L107" i="30"/>
  <c r="N107" i="30" s="1"/>
  <c r="B107" i="30"/>
  <c r="X106" i="30"/>
  <c r="T106" i="30"/>
  <c r="P106" i="30"/>
  <c r="H106" i="30"/>
  <c r="D106" i="30"/>
  <c r="L106" i="30" s="1"/>
  <c r="B106" i="30"/>
  <c r="Z105" i="30"/>
  <c r="X105" i="30"/>
  <c r="L105" i="30"/>
  <c r="N105" i="30" s="1"/>
  <c r="B105" i="30"/>
  <c r="X104" i="30"/>
  <c r="Z104" i="30" s="1"/>
  <c r="L104" i="30"/>
  <c r="N104" i="30" s="1"/>
  <c r="B104" i="30"/>
  <c r="Z103" i="30"/>
  <c r="X103" i="30"/>
  <c r="V103" i="30"/>
  <c r="L103" i="30"/>
  <c r="N103" i="30" s="1"/>
  <c r="B103" i="30"/>
  <c r="Z102" i="30"/>
  <c r="X102" i="30"/>
  <c r="V102" i="30"/>
  <c r="N102" i="30"/>
  <c r="L102" i="30"/>
  <c r="B102" i="30"/>
  <c r="Z101" i="30"/>
  <c r="X101" i="30"/>
  <c r="V101" i="30"/>
  <c r="T101" i="30"/>
  <c r="P101" i="30"/>
  <c r="J101" i="30"/>
  <c r="H101" i="30"/>
  <c r="D101" i="30"/>
  <c r="L101" i="30" s="1"/>
  <c r="B101" i="30"/>
  <c r="X100" i="30"/>
  <c r="Z100" i="30" s="1"/>
  <c r="L100" i="30"/>
  <c r="N100" i="30" s="1"/>
  <c r="B100" i="30"/>
  <c r="Z99" i="30"/>
  <c r="X99" i="30"/>
  <c r="N99" i="30"/>
  <c r="L99" i="30"/>
  <c r="B99" i="30"/>
  <c r="T98" i="30"/>
  <c r="P98" i="30"/>
  <c r="X98" i="30" s="1"/>
  <c r="L98" i="30"/>
  <c r="H98" i="30"/>
  <c r="D98" i="30"/>
  <c r="B98" i="30"/>
  <c r="Z97" i="30"/>
  <c r="X97" i="30"/>
  <c r="V97" i="30"/>
  <c r="N97" i="30"/>
  <c r="L97" i="30"/>
  <c r="J97" i="30"/>
  <c r="B97" i="30"/>
  <c r="X96" i="30"/>
  <c r="Z96" i="30" s="1"/>
  <c r="N96" i="30"/>
  <c r="L96" i="30"/>
  <c r="B96" i="30"/>
  <c r="Z95" i="30"/>
  <c r="T95" i="30"/>
  <c r="P95" i="30"/>
  <c r="X95" i="30" s="1"/>
  <c r="J95" i="30"/>
  <c r="H95" i="30"/>
  <c r="D95" i="30"/>
  <c r="L95" i="30" s="1"/>
  <c r="N95" i="30" s="1"/>
  <c r="B95" i="30"/>
  <c r="Z94" i="30"/>
  <c r="X94" i="30"/>
  <c r="N94" i="30"/>
  <c r="L94" i="30"/>
  <c r="B94" i="30"/>
  <c r="Z93" i="30"/>
  <c r="X93" i="30"/>
  <c r="N93" i="30"/>
  <c r="L93" i="30"/>
  <c r="B93" i="30"/>
  <c r="X92" i="30"/>
  <c r="Z92" i="30" s="1"/>
  <c r="L92" i="30"/>
  <c r="N92" i="30" s="1"/>
  <c r="B92" i="30"/>
  <c r="V91" i="30"/>
  <c r="T91" i="30"/>
  <c r="Z91" i="30" s="1"/>
  <c r="P91" i="30"/>
  <c r="X91" i="30" s="1"/>
  <c r="H91" i="30"/>
  <c r="D91" i="30"/>
  <c r="L91" i="30" s="1"/>
  <c r="N91" i="30" s="1"/>
  <c r="B91" i="30"/>
  <c r="Z90" i="30"/>
  <c r="X90" i="30"/>
  <c r="N90" i="30"/>
  <c r="L90" i="30"/>
  <c r="B90" i="30"/>
  <c r="Z89" i="30"/>
  <c r="X89" i="30"/>
  <c r="L89" i="30"/>
  <c r="N89" i="30" s="1"/>
  <c r="B89" i="30"/>
  <c r="T88" i="30"/>
  <c r="P88" i="30"/>
  <c r="H88" i="30"/>
  <c r="D88" i="30"/>
  <c r="B88" i="30"/>
  <c r="Z87" i="30"/>
  <c r="X87" i="30"/>
  <c r="N87" i="30"/>
  <c r="L87" i="30"/>
  <c r="J87" i="30"/>
  <c r="B87" i="30"/>
  <c r="T86" i="30"/>
  <c r="P86" i="30"/>
  <c r="X86" i="30" s="1"/>
  <c r="Z86" i="30" s="1"/>
  <c r="H86" i="30"/>
  <c r="D86" i="30"/>
  <c r="L86" i="30" s="1"/>
  <c r="B86" i="30"/>
  <c r="X85" i="30"/>
  <c r="Z85" i="30" s="1"/>
  <c r="N85" i="30"/>
  <c r="L85" i="30"/>
  <c r="J85" i="30"/>
  <c r="B85" i="30"/>
  <c r="T84" i="30"/>
  <c r="P84" i="30"/>
  <c r="J84" i="30"/>
  <c r="H84" i="30"/>
  <c r="D84" i="30"/>
  <c r="L84" i="30" s="1"/>
  <c r="B84" i="30"/>
  <c r="Z83" i="30"/>
  <c r="X83" i="30"/>
  <c r="L83" i="30"/>
  <c r="N83" i="30" s="1"/>
  <c r="B83" i="30"/>
  <c r="X82" i="30"/>
  <c r="T82" i="30"/>
  <c r="P82" i="30"/>
  <c r="H82" i="30"/>
  <c r="D82" i="30"/>
  <c r="L82" i="30" s="1"/>
  <c r="B82" i="30"/>
  <c r="Z81" i="30"/>
  <c r="X81" i="30"/>
  <c r="L81" i="30"/>
  <c r="N81" i="30" s="1"/>
  <c r="B81" i="30"/>
  <c r="T80" i="30"/>
  <c r="P80" i="30"/>
  <c r="X80" i="30" s="1"/>
  <c r="H80" i="30"/>
  <c r="D80" i="30"/>
  <c r="L80" i="30" s="1"/>
  <c r="B80" i="30"/>
  <c r="Z79" i="30"/>
  <c r="X79" i="30"/>
  <c r="N79" i="30"/>
  <c r="L79" i="30"/>
  <c r="J79" i="30"/>
  <c r="B79" i="30"/>
  <c r="Z78" i="30"/>
  <c r="X78" i="30"/>
  <c r="N78" i="30"/>
  <c r="L78" i="30"/>
  <c r="J78" i="30"/>
  <c r="B78" i="30"/>
  <c r="T77" i="30"/>
  <c r="P77" i="30"/>
  <c r="X77" i="30" s="1"/>
  <c r="Z77" i="30" s="1"/>
  <c r="N77" i="30"/>
  <c r="J77" i="30"/>
  <c r="H77" i="30"/>
  <c r="D77" i="30"/>
  <c r="L77" i="30" s="1"/>
  <c r="B77" i="30"/>
  <c r="Z76" i="30"/>
  <c r="X76" i="30"/>
  <c r="N76" i="30"/>
  <c r="L76" i="30"/>
  <c r="B76" i="30"/>
  <c r="Z75" i="30"/>
  <c r="X75" i="30"/>
  <c r="V75" i="30"/>
  <c r="L75" i="30"/>
  <c r="N75" i="30" s="1"/>
  <c r="B75" i="30"/>
  <c r="X74" i="30"/>
  <c r="T74" i="30"/>
  <c r="Z74" i="30" s="1"/>
  <c r="P74" i="30"/>
  <c r="H74" i="30"/>
  <c r="L74" i="30" s="1"/>
  <c r="D74" i="30"/>
  <c r="B74" i="30"/>
  <c r="X73" i="30"/>
  <c r="Z73" i="30" s="1"/>
  <c r="N73" i="30"/>
  <c r="L73" i="30"/>
  <c r="B73" i="30"/>
  <c r="T72" i="30"/>
  <c r="X72" i="30" s="1"/>
  <c r="P72" i="30"/>
  <c r="J72" i="30"/>
  <c r="H72" i="30"/>
  <c r="D72" i="30"/>
  <c r="L72" i="30" s="1"/>
  <c r="N72" i="30" s="1"/>
  <c r="B72" i="30"/>
  <c r="Z71" i="30"/>
  <c r="X71" i="30"/>
  <c r="N71" i="30"/>
  <c r="L71" i="30"/>
  <c r="J71" i="30"/>
  <c r="B71" i="30"/>
  <c r="Z70" i="30"/>
  <c r="V70" i="30"/>
  <c r="T70" i="30"/>
  <c r="P70" i="30"/>
  <c r="X70" i="30" s="1"/>
  <c r="H70" i="30"/>
  <c r="N70" i="30" s="1"/>
  <c r="D70" i="30"/>
  <c r="L70" i="30" s="1"/>
  <c r="B70" i="30"/>
  <c r="Z69" i="30"/>
  <c r="X69" i="30"/>
  <c r="L69" i="30"/>
  <c r="N69" i="30" s="1"/>
  <c r="B69" i="30"/>
  <c r="T68" i="30"/>
  <c r="Z68" i="30" s="1"/>
  <c r="P68" i="30"/>
  <c r="X68" i="30" s="1"/>
  <c r="L68" i="30"/>
  <c r="H68" i="30"/>
  <c r="N68" i="30" s="1"/>
  <c r="D68" i="30"/>
  <c r="B68" i="30"/>
  <c r="Z67" i="30"/>
  <c r="X67" i="30"/>
  <c r="V67" i="30"/>
  <c r="L67" i="30"/>
  <c r="N67" i="30" s="1"/>
  <c r="B67" i="30"/>
  <c r="X66" i="30"/>
  <c r="T66" i="30"/>
  <c r="P66" i="30"/>
  <c r="H66" i="30"/>
  <c r="L66" i="30" s="1"/>
  <c r="D66" i="30"/>
  <c r="B66" i="30"/>
  <c r="X65" i="30"/>
  <c r="Z65" i="30" s="1"/>
  <c r="N65" i="30"/>
  <c r="L65" i="30"/>
  <c r="B65" i="30"/>
  <c r="T64" i="30"/>
  <c r="X64" i="30" s="1"/>
  <c r="P64" i="30"/>
  <c r="J64" i="30"/>
  <c r="H64" i="30"/>
  <c r="N64" i="30" s="1"/>
  <c r="D64" i="30"/>
  <c r="L64" i="30" s="1"/>
  <c r="B64" i="30"/>
  <c r="Z63" i="30"/>
  <c r="X63" i="30"/>
  <c r="N63" i="30"/>
  <c r="L63" i="30"/>
  <c r="J63" i="30"/>
  <c r="B63" i="30"/>
  <c r="Z62" i="30"/>
  <c r="X62" i="30"/>
  <c r="V62" i="30"/>
  <c r="N62" i="30"/>
  <c r="L62" i="30"/>
  <c r="B62" i="30"/>
  <c r="X61" i="30"/>
  <c r="Z61" i="30" s="1"/>
  <c r="N61" i="30"/>
  <c r="L61" i="30"/>
  <c r="B61" i="30"/>
  <c r="Z60" i="30"/>
  <c r="X60" i="30"/>
  <c r="L60" i="30"/>
  <c r="N60" i="30" s="1"/>
  <c r="B60" i="30"/>
  <c r="Z59" i="30"/>
  <c r="X59" i="30"/>
  <c r="V59" i="30"/>
  <c r="N59" i="30"/>
  <c r="L59" i="30"/>
  <c r="B59" i="30"/>
  <c r="Z58" i="30"/>
  <c r="X58" i="30"/>
  <c r="N58" i="30"/>
  <c r="L58" i="30"/>
  <c r="J58" i="30"/>
  <c r="B58" i="30"/>
  <c r="Z57" i="30"/>
  <c r="X57" i="30"/>
  <c r="L57" i="30"/>
  <c r="N57" i="30" s="1"/>
  <c r="B57" i="30"/>
  <c r="Z56" i="30"/>
  <c r="X56" i="30"/>
  <c r="N56" i="30"/>
  <c r="L56" i="30"/>
  <c r="B56" i="30"/>
  <c r="X55" i="30"/>
  <c r="Z55" i="30" s="1"/>
  <c r="N55" i="30"/>
  <c r="L55" i="30"/>
  <c r="J55" i="30"/>
  <c r="B55" i="30"/>
  <c r="Z54" i="30"/>
  <c r="X54" i="30"/>
  <c r="V54" i="30"/>
  <c r="N54" i="30"/>
  <c r="L54" i="30"/>
  <c r="B54" i="30"/>
  <c r="X53" i="30"/>
  <c r="T53" i="30"/>
  <c r="Z53" i="30" s="1"/>
  <c r="P53" i="30"/>
  <c r="H53" i="30"/>
  <c r="D53" i="30"/>
  <c r="B53" i="30"/>
  <c r="X52" i="30"/>
  <c r="Z52" i="30" s="1"/>
  <c r="N52" i="30"/>
  <c r="L52" i="30"/>
  <c r="B52" i="30"/>
  <c r="X51" i="30"/>
  <c r="Z51" i="30" s="1"/>
  <c r="N51" i="30"/>
  <c r="L51" i="30"/>
  <c r="J51" i="30"/>
  <c r="B51" i="30"/>
  <c r="Z50" i="30"/>
  <c r="X50" i="30"/>
  <c r="V50" i="30"/>
  <c r="L50" i="30"/>
  <c r="N50" i="30" s="1"/>
  <c r="B50" i="30"/>
  <c r="Z49" i="30"/>
  <c r="X49" i="30"/>
  <c r="N49" i="30"/>
  <c r="L49" i="30"/>
  <c r="B49" i="30"/>
  <c r="Z48" i="30"/>
  <c r="X48" i="30"/>
  <c r="L48" i="30"/>
  <c r="N48" i="30" s="1"/>
  <c r="B48" i="30"/>
  <c r="Z47" i="30"/>
  <c r="X47" i="30"/>
  <c r="V47" i="30"/>
  <c r="L47" i="30"/>
  <c r="N47" i="30" s="1"/>
  <c r="B47" i="30"/>
  <c r="X46" i="30"/>
  <c r="Z46" i="30" s="1"/>
  <c r="N46" i="30"/>
  <c r="L46" i="30"/>
  <c r="J46" i="30"/>
  <c r="B46" i="30"/>
  <c r="Z45" i="30"/>
  <c r="X45" i="30"/>
  <c r="L45" i="30"/>
  <c r="N45" i="30" s="1"/>
  <c r="B45" i="30"/>
  <c r="X44" i="30"/>
  <c r="Z44" i="30" s="1"/>
  <c r="N44" i="30"/>
  <c r="L44" i="30"/>
  <c r="B44" i="30"/>
  <c r="T43" i="30"/>
  <c r="P43" i="30"/>
  <c r="N43" i="30"/>
  <c r="H43" i="30"/>
  <c r="D43" i="30"/>
  <c r="L43" i="30" s="1"/>
  <c r="B43" i="30"/>
  <c r="X42" i="30"/>
  <c r="T42" i="30"/>
  <c r="Z42" i="30" s="1"/>
  <c r="P42" i="30"/>
  <c r="H42" i="30"/>
  <c r="D42" i="30"/>
  <c r="Z38" i="30"/>
  <c r="X38" i="30"/>
  <c r="N38" i="30"/>
  <c r="L38" i="30"/>
  <c r="J38" i="30"/>
  <c r="B38" i="30"/>
  <c r="Z37" i="30"/>
  <c r="X37" i="30"/>
  <c r="N37" i="30"/>
  <c r="L37" i="30"/>
  <c r="B37" i="30"/>
  <c r="Z36" i="30"/>
  <c r="X36" i="30"/>
  <c r="N36" i="30"/>
  <c r="L36" i="30"/>
  <c r="B36" i="30"/>
  <c r="Z35" i="30"/>
  <c r="X35" i="30"/>
  <c r="N35" i="30"/>
  <c r="L35" i="30"/>
  <c r="J35" i="30"/>
  <c r="B35" i="30"/>
  <c r="Z34" i="30"/>
  <c r="X34" i="30"/>
  <c r="V34" i="30"/>
  <c r="N34" i="30"/>
  <c r="L34" i="30"/>
  <c r="B34" i="30"/>
  <c r="Z33" i="30"/>
  <c r="X33" i="30"/>
  <c r="N33" i="30"/>
  <c r="L33" i="30"/>
  <c r="J33" i="30"/>
  <c r="B33" i="30"/>
  <c r="Z32" i="30"/>
  <c r="X32" i="30"/>
  <c r="N32" i="30"/>
  <c r="L32" i="30"/>
  <c r="J32" i="30"/>
  <c r="B32" i="30"/>
  <c r="Z31" i="30"/>
  <c r="X31" i="30"/>
  <c r="V31" i="30"/>
  <c r="N31" i="30"/>
  <c r="L31" i="30"/>
  <c r="B31" i="30"/>
  <c r="Z30" i="30"/>
  <c r="X30" i="30"/>
  <c r="N30" i="30"/>
  <c r="L30" i="30"/>
  <c r="J30" i="30"/>
  <c r="B30" i="30"/>
  <c r="Z29" i="30"/>
  <c r="X29" i="30"/>
  <c r="N29" i="30"/>
  <c r="L29" i="30"/>
  <c r="J29" i="30"/>
  <c r="B29" i="30"/>
  <c r="Z28" i="30"/>
  <c r="X28" i="30"/>
  <c r="N28" i="30"/>
  <c r="L28" i="30"/>
  <c r="B28" i="30"/>
  <c r="Z27" i="30"/>
  <c r="X27" i="30"/>
  <c r="N27" i="30"/>
  <c r="L27" i="30"/>
  <c r="J27" i="30"/>
  <c r="B27" i="30"/>
  <c r="Z26" i="30"/>
  <c r="X26" i="30"/>
  <c r="V26" i="30"/>
  <c r="N26" i="30"/>
  <c r="L26" i="30"/>
  <c r="B26" i="30"/>
  <c r="Z25" i="30"/>
  <c r="X25" i="30"/>
  <c r="N25" i="30"/>
  <c r="L25" i="30"/>
  <c r="J25" i="30"/>
  <c r="B25" i="30"/>
  <c r="Z24" i="30"/>
  <c r="X24" i="30"/>
  <c r="N24" i="30"/>
  <c r="L24" i="30"/>
  <c r="J24" i="30"/>
  <c r="B24" i="30"/>
  <c r="Z23" i="30"/>
  <c r="X23" i="30"/>
  <c r="V23" i="30"/>
  <c r="N23" i="30"/>
  <c r="L23" i="30"/>
  <c r="B23" i="30"/>
  <c r="Z22" i="30"/>
  <c r="X22" i="30"/>
  <c r="N22" i="30"/>
  <c r="L22" i="30"/>
  <c r="J22" i="30"/>
  <c r="B22" i="30"/>
  <c r="Z21" i="30"/>
  <c r="X21" i="30"/>
  <c r="V21" i="30"/>
  <c r="N21" i="30"/>
  <c r="L21" i="30"/>
  <c r="J21" i="30"/>
  <c r="B21" i="30"/>
  <c r="X20" i="30"/>
  <c r="Z20" i="30" s="1"/>
  <c r="N20" i="30"/>
  <c r="L20" i="30"/>
  <c r="B20" i="30"/>
  <c r="T19" i="30"/>
  <c r="P19" i="30"/>
  <c r="N19" i="30"/>
  <c r="J19" i="30"/>
  <c r="H19" i="30"/>
  <c r="D19" i="30"/>
  <c r="L19" i="30" s="1"/>
  <c r="Z17" i="30"/>
  <c r="P17" i="30"/>
  <c r="X17" i="30" s="1"/>
  <c r="N17" i="30"/>
  <c r="L17" i="30"/>
  <c r="D17" i="30"/>
  <c r="B17" i="30"/>
  <c r="Z16" i="30"/>
  <c r="X16" i="30"/>
  <c r="P16" i="30"/>
  <c r="N16" i="30"/>
  <c r="D16" i="30"/>
  <c r="L16" i="30" s="1"/>
  <c r="B16" i="30"/>
  <c r="Z15" i="30"/>
  <c r="X15" i="30"/>
  <c r="P15" i="30"/>
  <c r="N15" i="30"/>
  <c r="L15" i="30"/>
  <c r="D15" i="30"/>
  <c r="B15" i="30"/>
  <c r="Z14" i="30"/>
  <c r="P14" i="30"/>
  <c r="N14" i="30"/>
  <c r="D14" i="30"/>
  <c r="L14" i="30" s="1"/>
  <c r="B14" i="30"/>
  <c r="Z13" i="30"/>
  <c r="X13" i="30"/>
  <c r="P13" i="30"/>
  <c r="N13" i="30"/>
  <c r="L13" i="30"/>
  <c r="D13" i="30"/>
  <c r="B13" i="30"/>
  <c r="T12" i="30"/>
  <c r="V110" i="30" s="1"/>
  <c r="H12" i="30"/>
  <c r="D12" i="30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D33" i="29"/>
  <c r="T29" i="29"/>
  <c r="Z29" i="29" s="1"/>
  <c r="P29" i="29"/>
  <c r="H29" i="29"/>
  <c r="D29" i="29"/>
  <c r="T25" i="29"/>
  <c r="Z25" i="29" s="1"/>
  <c r="P25" i="29"/>
  <c r="H25" i="29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N22" i="29" s="1"/>
  <c r="D22" i="29"/>
  <c r="B22" i="29"/>
  <c r="T21" i="29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N16" i="29" s="1"/>
  <c r="D16" i="29"/>
  <c r="B16" i="29"/>
  <c r="T15" i="29"/>
  <c r="Z15" i="29" s="1"/>
  <c r="P15" i="29"/>
  <c r="H15" i="29"/>
  <c r="D15" i="29"/>
  <c r="T13" i="29"/>
  <c r="Z13" i="29" s="1"/>
  <c r="P13" i="29"/>
  <c r="H13" i="29"/>
  <c r="N13" i="29" s="1"/>
  <c r="D13" i="29"/>
  <c r="B13" i="29"/>
  <c r="T12" i="29"/>
  <c r="V36" i="29" s="1"/>
  <c r="P12" i="29"/>
  <c r="R21" i="29" s="1"/>
  <c r="H12" i="29"/>
  <c r="J31" i="29" s="1"/>
  <c r="D12" i="29"/>
  <c r="F18" i="29" s="1"/>
  <c r="D5" i="29"/>
  <c r="D4" i="29"/>
  <c r="B39" i="28"/>
  <c r="B38" i="28"/>
  <c r="T34" i="28"/>
  <c r="Z34" i="28" s="1"/>
  <c r="P34" i="28"/>
  <c r="H34" i="28"/>
  <c r="N34" i="28" s="1"/>
  <c r="D34" i="28"/>
  <c r="T33" i="28"/>
  <c r="Z33" i="28" s="1"/>
  <c r="P33" i="28"/>
  <c r="H33" i="28"/>
  <c r="N33" i="28" s="1"/>
  <c r="D33" i="28"/>
  <c r="T29" i="28"/>
  <c r="Z29" i="28" s="1"/>
  <c r="P29" i="28"/>
  <c r="H29" i="28"/>
  <c r="N29" i="28" s="1"/>
  <c r="D29" i="28"/>
  <c r="T25" i="28"/>
  <c r="Z25" i="28" s="1"/>
  <c r="P25" i="28"/>
  <c r="H25" i="28"/>
  <c r="N25" i="28" s="1"/>
  <c r="D25" i="28"/>
  <c r="B25" i="28"/>
  <c r="T24" i="28"/>
  <c r="P24" i="28"/>
  <c r="H24" i="28"/>
  <c r="N24" i="28" s="1"/>
  <c r="D24" i="28"/>
  <c r="T22" i="28"/>
  <c r="Z22" i="28" s="1"/>
  <c r="P22" i="28"/>
  <c r="H22" i="28"/>
  <c r="N22" i="28" s="1"/>
  <c r="D22" i="28"/>
  <c r="B22" i="28"/>
  <c r="T21" i="28"/>
  <c r="Z21" i="28" s="1"/>
  <c r="P21" i="28"/>
  <c r="H21" i="28"/>
  <c r="N21" i="28" s="1"/>
  <c r="D21" i="28"/>
  <c r="B21" i="28"/>
  <c r="T20" i="28"/>
  <c r="Z20" i="28" s="1"/>
  <c r="P20" i="28"/>
  <c r="H20" i="28"/>
  <c r="N20" i="28" s="1"/>
  <c r="D20" i="28"/>
  <c r="T16" i="28"/>
  <c r="Z16" i="28" s="1"/>
  <c r="P16" i="28"/>
  <c r="H16" i="28"/>
  <c r="N16" i="28" s="1"/>
  <c r="D16" i="28"/>
  <c r="B16" i="28"/>
  <c r="T15" i="28"/>
  <c r="P15" i="28"/>
  <c r="H15" i="28"/>
  <c r="N15" i="28" s="1"/>
  <c r="D15" i="28"/>
  <c r="T13" i="28"/>
  <c r="Z13" i="28" s="1"/>
  <c r="P13" i="28"/>
  <c r="H13" i="28"/>
  <c r="N13" i="28" s="1"/>
  <c r="D13" i="28"/>
  <c r="B13" i="28"/>
  <c r="T12" i="28"/>
  <c r="V15" i="28" s="1"/>
  <c r="P12" i="28"/>
  <c r="R34" i="28" s="1"/>
  <c r="H12" i="28"/>
  <c r="J25" i="28" s="1"/>
  <c r="D12" i="28"/>
  <c r="F16" i="28" s="1"/>
  <c r="D5" i="28"/>
  <c r="D4" i="28"/>
  <c r="X89" i="27"/>
  <c r="Z89" i="27" s="1"/>
  <c r="N89" i="27"/>
  <c r="L89" i="27"/>
  <c r="Z85" i="27"/>
  <c r="X85" i="27"/>
  <c r="P85" i="27"/>
  <c r="N85" i="27"/>
  <c r="L85" i="27"/>
  <c r="D85" i="27"/>
  <c r="B85" i="27"/>
  <c r="Z84" i="27"/>
  <c r="V84" i="27"/>
  <c r="P84" i="27"/>
  <c r="X84" i="27" s="1"/>
  <c r="N84" i="27"/>
  <c r="L84" i="27"/>
  <c r="D84" i="27"/>
  <c r="B84" i="27"/>
  <c r="V83" i="27"/>
  <c r="P83" i="27"/>
  <c r="X83" i="27" s="1"/>
  <c r="Z83" i="27" s="1"/>
  <c r="N83" i="27"/>
  <c r="D83" i="27"/>
  <c r="L83" i="27" s="1"/>
  <c r="B83" i="27"/>
  <c r="P82" i="27"/>
  <c r="D82" i="27"/>
  <c r="L82" i="27" s="1"/>
  <c r="N82" i="27" s="1"/>
  <c r="B82" i="27"/>
  <c r="T81" i="27"/>
  <c r="H81" i="27"/>
  <c r="Z79" i="27"/>
  <c r="X79" i="27"/>
  <c r="L79" i="27"/>
  <c r="N79" i="27" s="1"/>
  <c r="B79" i="27"/>
  <c r="Z78" i="27"/>
  <c r="X78" i="27"/>
  <c r="N78" i="27"/>
  <c r="L78" i="27"/>
  <c r="B78" i="27"/>
  <c r="T77" i="27"/>
  <c r="P77" i="27"/>
  <c r="H77" i="27"/>
  <c r="D77" i="27"/>
  <c r="L77" i="27" s="1"/>
  <c r="N77" i="27" s="1"/>
  <c r="B77" i="27"/>
  <c r="X76" i="27"/>
  <c r="Z76" i="27" s="1"/>
  <c r="N76" i="27"/>
  <c r="L76" i="27"/>
  <c r="B76" i="27"/>
  <c r="Z75" i="27"/>
  <c r="X75" i="27"/>
  <c r="L75" i="27"/>
  <c r="N75" i="27" s="1"/>
  <c r="B75" i="27"/>
  <c r="X74" i="27"/>
  <c r="Z74" i="27" s="1"/>
  <c r="T74" i="27"/>
  <c r="P74" i="27"/>
  <c r="L74" i="27"/>
  <c r="H74" i="27"/>
  <c r="D74" i="27"/>
  <c r="B74" i="27"/>
  <c r="Z73" i="27"/>
  <c r="X73" i="27"/>
  <c r="V73" i="27"/>
  <c r="N73" i="27"/>
  <c r="L73" i="27"/>
  <c r="B73" i="27"/>
  <c r="X72" i="27"/>
  <c r="T72" i="27"/>
  <c r="Z72" i="27" s="1"/>
  <c r="P72" i="27"/>
  <c r="H72" i="27"/>
  <c r="D72" i="27"/>
  <c r="L72" i="27" s="1"/>
  <c r="N72" i="27" s="1"/>
  <c r="B72" i="27"/>
  <c r="X71" i="27"/>
  <c r="Z71" i="27" s="1"/>
  <c r="N71" i="27"/>
  <c r="L71" i="27"/>
  <c r="B71" i="27"/>
  <c r="Z70" i="27"/>
  <c r="X70" i="27"/>
  <c r="L70" i="27"/>
  <c r="N70" i="27" s="1"/>
  <c r="B70" i="27"/>
  <c r="Z69" i="27"/>
  <c r="X69" i="27"/>
  <c r="V69" i="27"/>
  <c r="N69" i="27"/>
  <c r="L69" i="27"/>
  <c r="B69" i="27"/>
  <c r="X68" i="27"/>
  <c r="T68" i="27"/>
  <c r="P68" i="27"/>
  <c r="H68" i="27"/>
  <c r="D68" i="27"/>
  <c r="B68" i="27"/>
  <c r="X67" i="27"/>
  <c r="Z67" i="27" s="1"/>
  <c r="N67" i="27"/>
  <c r="L67" i="27"/>
  <c r="B67" i="27"/>
  <c r="T66" i="27"/>
  <c r="P66" i="27"/>
  <c r="H66" i="27"/>
  <c r="D66" i="27"/>
  <c r="L66" i="27" s="1"/>
  <c r="N66" i="27" s="1"/>
  <c r="B66" i="27"/>
  <c r="Z65" i="27"/>
  <c r="X65" i="27"/>
  <c r="N65" i="27"/>
  <c r="L65" i="27"/>
  <c r="B65" i="27"/>
  <c r="V64" i="27"/>
  <c r="T64" i="27"/>
  <c r="P64" i="27"/>
  <c r="X64" i="27" s="1"/>
  <c r="Z64" i="27" s="1"/>
  <c r="L64" i="27"/>
  <c r="H64" i="27"/>
  <c r="N64" i="27" s="1"/>
  <c r="D64" i="27"/>
  <c r="B64" i="27"/>
  <c r="Z63" i="27"/>
  <c r="X63" i="27"/>
  <c r="L63" i="27"/>
  <c r="N63" i="27" s="1"/>
  <c r="B63" i="27"/>
  <c r="X62" i="27"/>
  <c r="T62" i="27"/>
  <c r="Z62" i="27" s="1"/>
  <c r="P62" i="27"/>
  <c r="L62" i="27"/>
  <c r="H62" i="27"/>
  <c r="N62" i="27" s="1"/>
  <c r="D62" i="27"/>
  <c r="B62" i="27"/>
  <c r="Z61" i="27"/>
  <c r="X61" i="27"/>
  <c r="V61" i="27"/>
  <c r="N61" i="27"/>
  <c r="L61" i="27"/>
  <c r="B61" i="27"/>
  <c r="X60" i="27"/>
  <c r="T60" i="27"/>
  <c r="P60" i="27"/>
  <c r="H60" i="27"/>
  <c r="D60" i="27"/>
  <c r="B60" i="27"/>
  <c r="X59" i="27"/>
  <c r="Z59" i="27" s="1"/>
  <c r="N59" i="27"/>
  <c r="L59" i="27"/>
  <c r="B59" i="27"/>
  <c r="T58" i="27"/>
  <c r="P58" i="27"/>
  <c r="H58" i="27"/>
  <c r="D58" i="27"/>
  <c r="L58" i="27" s="1"/>
  <c r="N58" i="27" s="1"/>
  <c r="B58" i="27"/>
  <c r="Z57" i="27"/>
  <c r="X57" i="27"/>
  <c r="N57" i="27"/>
  <c r="L57" i="27"/>
  <c r="B57" i="27"/>
  <c r="V56" i="27"/>
  <c r="T56" i="27"/>
  <c r="P56" i="27"/>
  <c r="X56" i="27" s="1"/>
  <c r="Z56" i="27" s="1"/>
  <c r="L56" i="27"/>
  <c r="H56" i="27"/>
  <c r="N56" i="27" s="1"/>
  <c r="D56" i="27"/>
  <c r="B56" i="27"/>
  <c r="Z55" i="27"/>
  <c r="X55" i="27"/>
  <c r="N55" i="27"/>
  <c r="L55" i="27"/>
  <c r="B55" i="27"/>
  <c r="Z54" i="27"/>
  <c r="X54" i="27"/>
  <c r="N54" i="27"/>
  <c r="L54" i="27"/>
  <c r="B54" i="27"/>
  <c r="Z53" i="27"/>
  <c r="X53" i="27"/>
  <c r="N53" i="27"/>
  <c r="L53" i="27"/>
  <c r="B53" i="27"/>
  <c r="Z52" i="27"/>
  <c r="X52" i="27"/>
  <c r="V52" i="27"/>
  <c r="N52" i="27"/>
  <c r="L52" i="27"/>
  <c r="B52" i="27"/>
  <c r="Z51" i="27"/>
  <c r="X51" i="27"/>
  <c r="N51" i="27"/>
  <c r="L51" i="27"/>
  <c r="B51" i="27"/>
  <c r="Z50" i="27"/>
  <c r="X50" i="27"/>
  <c r="L50" i="27"/>
  <c r="N50" i="27" s="1"/>
  <c r="B50" i="27"/>
  <c r="Z49" i="27"/>
  <c r="X49" i="27"/>
  <c r="V49" i="27"/>
  <c r="N49" i="27"/>
  <c r="L49" i="27"/>
  <c r="B49" i="27"/>
  <c r="Z48" i="27"/>
  <c r="X48" i="27"/>
  <c r="N48" i="27"/>
  <c r="L48" i="27"/>
  <c r="B48" i="27"/>
  <c r="Z47" i="27"/>
  <c r="X47" i="27"/>
  <c r="L47" i="27"/>
  <c r="N47" i="27" s="1"/>
  <c r="B47" i="27"/>
  <c r="Z46" i="27"/>
  <c r="X46" i="27"/>
  <c r="N46" i="27"/>
  <c r="L46" i="27"/>
  <c r="B46" i="27"/>
  <c r="T45" i="27"/>
  <c r="P45" i="27"/>
  <c r="H45" i="27"/>
  <c r="D45" i="27"/>
  <c r="L45" i="27" s="1"/>
  <c r="N45" i="27" s="1"/>
  <c r="B45" i="27"/>
  <c r="X44" i="27"/>
  <c r="Z44" i="27" s="1"/>
  <c r="N44" i="27"/>
  <c r="L44" i="27"/>
  <c r="B44" i="27"/>
  <c r="Z43" i="27"/>
  <c r="X43" i="27"/>
  <c r="L43" i="27"/>
  <c r="N43" i="27" s="1"/>
  <c r="B43" i="27"/>
  <c r="X42" i="27"/>
  <c r="Z42" i="27" s="1"/>
  <c r="N42" i="27"/>
  <c r="L42" i="27"/>
  <c r="B42" i="27"/>
  <c r="Z41" i="27"/>
  <c r="X41" i="27"/>
  <c r="N41" i="27"/>
  <c r="L41" i="27"/>
  <c r="B41" i="27"/>
  <c r="Z40" i="27"/>
  <c r="X40" i="27"/>
  <c r="V40" i="27"/>
  <c r="N40" i="27"/>
  <c r="L40" i="27"/>
  <c r="B40" i="27"/>
  <c r="X39" i="27"/>
  <c r="Z39" i="27" s="1"/>
  <c r="N39" i="27"/>
  <c r="L39" i="27"/>
  <c r="B39" i="27"/>
  <c r="Z38" i="27"/>
  <c r="X38" i="27"/>
  <c r="L38" i="27"/>
  <c r="N38" i="27" s="1"/>
  <c r="B38" i="27"/>
  <c r="Z37" i="27"/>
  <c r="X37" i="27"/>
  <c r="V37" i="27"/>
  <c r="N37" i="27"/>
  <c r="L37" i="27"/>
  <c r="B37" i="27"/>
  <c r="X36" i="27"/>
  <c r="Z36" i="27" s="1"/>
  <c r="N36" i="27"/>
  <c r="L36" i="27"/>
  <c r="B36" i="27"/>
  <c r="Z35" i="27"/>
  <c r="X35" i="27"/>
  <c r="V35" i="27"/>
  <c r="L35" i="27"/>
  <c r="N35" i="27" s="1"/>
  <c r="B35" i="27"/>
  <c r="X34" i="27"/>
  <c r="T34" i="27"/>
  <c r="Z34" i="27" s="1"/>
  <c r="P34" i="27"/>
  <c r="L34" i="27"/>
  <c r="H34" i="27"/>
  <c r="N34" i="27" s="1"/>
  <c r="D34" i="27"/>
  <c r="B34" i="27"/>
  <c r="V33" i="27"/>
  <c r="T33" i="27"/>
  <c r="P33" i="27"/>
  <c r="X33" i="27" s="1"/>
  <c r="Z33" i="27" s="1"/>
  <c r="L33" i="27"/>
  <c r="H33" i="27"/>
  <c r="D33" i="27"/>
  <c r="T31" i="27"/>
  <c r="Z29" i="27"/>
  <c r="X29" i="27"/>
  <c r="V29" i="27"/>
  <c r="N29" i="27"/>
  <c r="L29" i="27"/>
  <c r="B29" i="27"/>
  <c r="Z28" i="27"/>
  <c r="X28" i="27"/>
  <c r="N28" i="27"/>
  <c r="L28" i="27"/>
  <c r="B28" i="27"/>
  <c r="Z27" i="27"/>
  <c r="X27" i="27"/>
  <c r="V27" i="27"/>
  <c r="N27" i="27"/>
  <c r="L27" i="27"/>
  <c r="B27" i="27"/>
  <c r="Z26" i="27"/>
  <c r="X26" i="27"/>
  <c r="V26" i="27"/>
  <c r="N26" i="27"/>
  <c r="L26" i="27"/>
  <c r="B26" i="27"/>
  <c r="Z25" i="27"/>
  <c r="X25" i="27"/>
  <c r="N25" i="27"/>
  <c r="L25" i="27"/>
  <c r="B25" i="27"/>
  <c r="Z24" i="27"/>
  <c r="X24" i="27"/>
  <c r="V24" i="27"/>
  <c r="N24" i="27"/>
  <c r="L24" i="27"/>
  <c r="B24" i="27"/>
  <c r="Z23" i="27"/>
  <c r="X23" i="27"/>
  <c r="N23" i="27"/>
  <c r="L23" i="27"/>
  <c r="B23" i="27"/>
  <c r="Z22" i="27"/>
  <c r="X22" i="27"/>
  <c r="N22" i="27"/>
  <c r="L22" i="27"/>
  <c r="B22" i="27"/>
  <c r="Z21" i="27"/>
  <c r="X21" i="27"/>
  <c r="V21" i="27"/>
  <c r="N21" i="27"/>
  <c r="L21" i="27"/>
  <c r="B21" i="27"/>
  <c r="X20" i="27"/>
  <c r="Z20" i="27" s="1"/>
  <c r="N20" i="27"/>
  <c r="L20" i="27"/>
  <c r="B20" i="27"/>
  <c r="T19" i="27"/>
  <c r="V19" i="27" s="1"/>
  <c r="P19" i="27"/>
  <c r="X19" i="27" s="1"/>
  <c r="Z19" i="27" s="1"/>
  <c r="H19" i="27"/>
  <c r="D19" i="27"/>
  <c r="L19" i="27" s="1"/>
  <c r="N19" i="27" s="1"/>
  <c r="Z17" i="27"/>
  <c r="X17" i="27"/>
  <c r="P17" i="27"/>
  <c r="N17" i="27"/>
  <c r="L17" i="27"/>
  <c r="D17" i="27"/>
  <c r="B17" i="27"/>
  <c r="Z16" i="27"/>
  <c r="P16" i="27"/>
  <c r="X16" i="27" s="1"/>
  <c r="N16" i="27"/>
  <c r="D16" i="27"/>
  <c r="L16" i="27" s="1"/>
  <c r="B16" i="27"/>
  <c r="Z15" i="27"/>
  <c r="X15" i="27"/>
  <c r="P15" i="27"/>
  <c r="N15" i="27"/>
  <c r="L15" i="27"/>
  <c r="D15" i="27"/>
  <c r="B15" i="27"/>
  <c r="Z14" i="27"/>
  <c r="P14" i="27"/>
  <c r="X14" i="27" s="1"/>
  <c r="N14" i="27"/>
  <c r="L14" i="27"/>
  <c r="D14" i="27"/>
  <c r="B14" i="27"/>
  <c r="Z13" i="27"/>
  <c r="P13" i="27"/>
  <c r="X13" i="27" s="1"/>
  <c r="D13" i="27"/>
  <c r="B13" i="27"/>
  <c r="T12" i="27"/>
  <c r="H12" i="27"/>
  <c r="D4" i="27"/>
  <c r="B39" i="26"/>
  <c r="B38" i="26"/>
  <c r="T34" i="26"/>
  <c r="Z34" i="26" s="1"/>
  <c r="P34" i="26"/>
  <c r="H34" i="26"/>
  <c r="N34" i="26" s="1"/>
  <c r="D34" i="26"/>
  <c r="T33" i="26"/>
  <c r="P33" i="26"/>
  <c r="H33" i="26"/>
  <c r="N33" i="26" s="1"/>
  <c r="D33" i="26"/>
  <c r="T29" i="26"/>
  <c r="P29" i="26"/>
  <c r="H29" i="26"/>
  <c r="N29" i="26" s="1"/>
  <c r="D29" i="26"/>
  <c r="T25" i="26"/>
  <c r="P25" i="26"/>
  <c r="H25" i="26"/>
  <c r="N25" i="26" s="1"/>
  <c r="D25" i="26"/>
  <c r="B25" i="26"/>
  <c r="T24" i="26"/>
  <c r="Z24" i="26" s="1"/>
  <c r="P24" i="26"/>
  <c r="H24" i="26"/>
  <c r="N24" i="26" s="1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Z20" i="26" s="1"/>
  <c r="P20" i="26"/>
  <c r="H20" i="26"/>
  <c r="N20" i="26" s="1"/>
  <c r="D20" i="26"/>
  <c r="T16" i="26"/>
  <c r="Z16" i="26" s="1"/>
  <c r="P16" i="26"/>
  <c r="H16" i="26"/>
  <c r="N16" i="26" s="1"/>
  <c r="D16" i="26"/>
  <c r="B16" i="26"/>
  <c r="T15" i="26"/>
  <c r="P15" i="26"/>
  <c r="H15" i="26"/>
  <c r="N15" i="26" s="1"/>
  <c r="D15" i="26"/>
  <c r="T13" i="26"/>
  <c r="P13" i="26"/>
  <c r="H13" i="26"/>
  <c r="N13" i="26" s="1"/>
  <c r="D13" i="26"/>
  <c r="B13" i="26"/>
  <c r="T12" i="26"/>
  <c r="P12" i="26"/>
  <c r="R36" i="26" s="1"/>
  <c r="H12" i="26"/>
  <c r="D12" i="26"/>
  <c r="F18" i="26" s="1"/>
  <c r="D5" i="26"/>
  <c r="D4" i="26"/>
  <c r="B39" i="25"/>
  <c r="B38" i="25"/>
  <c r="T34" i="25"/>
  <c r="Z34" i="25" s="1"/>
  <c r="P34" i="25"/>
  <c r="H34" i="25"/>
  <c r="N34" i="25" s="1"/>
  <c r="D34" i="25"/>
  <c r="T33" i="25"/>
  <c r="Z33" i="25" s="1"/>
  <c r="P33" i="25"/>
  <c r="H33" i="25"/>
  <c r="N33" i="25" s="1"/>
  <c r="D33" i="25"/>
  <c r="T29" i="25"/>
  <c r="Z29" i="25" s="1"/>
  <c r="P29" i="25"/>
  <c r="H29" i="25"/>
  <c r="N29" i="25" s="1"/>
  <c r="D29" i="25"/>
  <c r="T25" i="25"/>
  <c r="Z25" i="25" s="1"/>
  <c r="P25" i="25"/>
  <c r="H25" i="25"/>
  <c r="N25" i="25" s="1"/>
  <c r="D25" i="25"/>
  <c r="B25" i="25"/>
  <c r="T24" i="25"/>
  <c r="Z24" i="25" s="1"/>
  <c r="P24" i="25"/>
  <c r="H24" i="25"/>
  <c r="N24" i="25" s="1"/>
  <c r="D24" i="25"/>
  <c r="T22" i="25"/>
  <c r="Z22" i="25" s="1"/>
  <c r="P22" i="25"/>
  <c r="H22" i="25"/>
  <c r="D22" i="25"/>
  <c r="B22" i="25"/>
  <c r="T21" i="25"/>
  <c r="Z21" i="25" s="1"/>
  <c r="P21" i="25"/>
  <c r="H21" i="25"/>
  <c r="N21" i="25" s="1"/>
  <c r="D21" i="25"/>
  <c r="B21" i="25"/>
  <c r="T20" i="25"/>
  <c r="Z20" i="25" s="1"/>
  <c r="P20" i="25"/>
  <c r="H20" i="25"/>
  <c r="N20" i="25" s="1"/>
  <c r="D20" i="25"/>
  <c r="T16" i="25"/>
  <c r="Z16" i="25" s="1"/>
  <c r="P16" i="25"/>
  <c r="H16" i="25"/>
  <c r="N16" i="25" s="1"/>
  <c r="D16" i="25"/>
  <c r="B16" i="25"/>
  <c r="T15" i="25"/>
  <c r="Z15" i="25" s="1"/>
  <c r="P15" i="25"/>
  <c r="H15" i="25"/>
  <c r="N15" i="25" s="1"/>
  <c r="D15" i="25"/>
  <c r="T13" i="25"/>
  <c r="Z13" i="25" s="1"/>
  <c r="P13" i="25"/>
  <c r="H13" i="25"/>
  <c r="N13" i="25" s="1"/>
  <c r="D13" i="25"/>
  <c r="B13" i="25"/>
  <c r="T12" i="25"/>
  <c r="V20" i="25" s="1"/>
  <c r="P12" i="25"/>
  <c r="R18" i="25" s="1"/>
  <c r="H12" i="25"/>
  <c r="J15" i="25" s="1"/>
  <c r="D12" i="25"/>
  <c r="F25" i="25" s="1"/>
  <c r="D5" i="25"/>
  <c r="D4" i="25"/>
  <c r="X86" i="24"/>
  <c r="Z86" i="24" s="1"/>
  <c r="N86" i="24"/>
  <c r="L86" i="24"/>
  <c r="J86" i="24"/>
  <c r="Z82" i="24"/>
  <c r="V82" i="24"/>
  <c r="T82" i="24"/>
  <c r="P82" i="24"/>
  <c r="X82" i="24" s="1"/>
  <c r="L82" i="24"/>
  <c r="H82" i="24"/>
  <c r="N82" i="24" s="1"/>
  <c r="D82" i="24"/>
  <c r="X80" i="24"/>
  <c r="Z80" i="24" s="1"/>
  <c r="N80" i="24"/>
  <c r="L80" i="24"/>
  <c r="J80" i="24"/>
  <c r="B80" i="24"/>
  <c r="V79" i="24"/>
  <c r="T79" i="24"/>
  <c r="P79" i="24"/>
  <c r="X79" i="24" s="1"/>
  <c r="Z79" i="24" s="1"/>
  <c r="L79" i="24"/>
  <c r="H79" i="24"/>
  <c r="N79" i="24" s="1"/>
  <c r="D79" i="24"/>
  <c r="B79" i="24"/>
  <c r="Z78" i="24"/>
  <c r="X78" i="24"/>
  <c r="L78" i="24"/>
  <c r="N78" i="24" s="1"/>
  <c r="B78" i="24"/>
  <c r="X77" i="24"/>
  <c r="Z77" i="24" s="1"/>
  <c r="N77" i="24"/>
  <c r="L77" i="24"/>
  <c r="B77" i="24"/>
  <c r="X76" i="24"/>
  <c r="Z76" i="24" s="1"/>
  <c r="N76" i="24"/>
  <c r="L76" i="24"/>
  <c r="J76" i="24"/>
  <c r="B76" i="24"/>
  <c r="Z75" i="24"/>
  <c r="X75" i="24"/>
  <c r="V75" i="24"/>
  <c r="N75" i="24"/>
  <c r="L75" i="24"/>
  <c r="B75" i="24"/>
  <c r="X74" i="24"/>
  <c r="T74" i="24"/>
  <c r="P74" i="24"/>
  <c r="H74" i="24"/>
  <c r="D74" i="24"/>
  <c r="B74" i="24"/>
  <c r="Z73" i="24"/>
  <c r="X73" i="24"/>
  <c r="N73" i="24"/>
  <c r="L73" i="24"/>
  <c r="B73" i="24"/>
  <c r="Z72" i="24"/>
  <c r="X72" i="24"/>
  <c r="N72" i="24"/>
  <c r="L72" i="24"/>
  <c r="J72" i="24"/>
  <c r="B72" i="24"/>
  <c r="Z71" i="24"/>
  <c r="V71" i="24"/>
  <c r="T71" i="24"/>
  <c r="P71" i="24"/>
  <c r="X71" i="24" s="1"/>
  <c r="N71" i="24"/>
  <c r="L71" i="24"/>
  <c r="H71" i="24"/>
  <c r="D71" i="24"/>
  <c r="B71" i="24"/>
  <c r="Z70" i="24"/>
  <c r="X70" i="24"/>
  <c r="N70" i="24"/>
  <c r="L70" i="24"/>
  <c r="B70" i="24"/>
  <c r="Z69" i="24"/>
  <c r="X69" i="24"/>
  <c r="N69" i="24"/>
  <c r="L69" i="24"/>
  <c r="B69" i="24"/>
  <c r="T68" i="24"/>
  <c r="P68" i="24"/>
  <c r="N68" i="24"/>
  <c r="H68" i="24"/>
  <c r="D68" i="24"/>
  <c r="L68" i="24" s="1"/>
  <c r="B68" i="24"/>
  <c r="X67" i="24"/>
  <c r="Z67" i="24" s="1"/>
  <c r="N67" i="24"/>
  <c r="L67" i="24"/>
  <c r="J67" i="24"/>
  <c r="B67" i="24"/>
  <c r="Z66" i="24"/>
  <c r="T66" i="24"/>
  <c r="P66" i="24"/>
  <c r="X66" i="24" s="1"/>
  <c r="J66" i="24"/>
  <c r="H66" i="24"/>
  <c r="D66" i="24"/>
  <c r="L66" i="24" s="1"/>
  <c r="N66" i="24" s="1"/>
  <c r="B66" i="24"/>
  <c r="Z65" i="24"/>
  <c r="X65" i="24"/>
  <c r="N65" i="24"/>
  <c r="L65" i="24"/>
  <c r="B65" i="24"/>
  <c r="Z64" i="24"/>
  <c r="V64" i="24"/>
  <c r="T64" i="24"/>
  <c r="P64" i="24"/>
  <c r="X64" i="24" s="1"/>
  <c r="L64" i="24"/>
  <c r="H64" i="24"/>
  <c r="N64" i="24" s="1"/>
  <c r="D64" i="24"/>
  <c r="B64" i="24"/>
  <c r="Z63" i="24"/>
  <c r="X63" i="24"/>
  <c r="V63" i="24"/>
  <c r="N63" i="24"/>
  <c r="L63" i="24"/>
  <c r="B63" i="24"/>
  <c r="X62" i="24"/>
  <c r="T62" i="24"/>
  <c r="Z62" i="24" s="1"/>
  <c r="P62" i="24"/>
  <c r="H62" i="24"/>
  <c r="D62" i="24"/>
  <c r="B62" i="24"/>
  <c r="Z61" i="24"/>
  <c r="X61" i="24"/>
  <c r="N61" i="24"/>
  <c r="L61" i="24"/>
  <c r="B61" i="24"/>
  <c r="Z60" i="24"/>
  <c r="X60" i="24"/>
  <c r="N60" i="24"/>
  <c r="L60" i="24"/>
  <c r="J60" i="24"/>
  <c r="B60" i="24"/>
  <c r="Z59" i="24"/>
  <c r="V59" i="24"/>
  <c r="T59" i="24"/>
  <c r="P59" i="24"/>
  <c r="X59" i="24" s="1"/>
  <c r="N59" i="24"/>
  <c r="L59" i="24"/>
  <c r="H59" i="24"/>
  <c r="D59" i="24"/>
  <c r="B59" i="24"/>
  <c r="Z58" i="24"/>
  <c r="X58" i="24"/>
  <c r="L58" i="24"/>
  <c r="N58" i="24" s="1"/>
  <c r="B58" i="24"/>
  <c r="X57" i="24"/>
  <c r="Z57" i="24" s="1"/>
  <c r="T57" i="24"/>
  <c r="P57" i="24"/>
  <c r="L57" i="24"/>
  <c r="H57" i="24"/>
  <c r="D57" i="24"/>
  <c r="B57" i="24"/>
  <c r="Z56" i="24"/>
  <c r="X56" i="24"/>
  <c r="V56" i="24"/>
  <c r="N56" i="24"/>
  <c r="L56" i="24"/>
  <c r="B56" i="24"/>
  <c r="X55" i="24"/>
  <c r="T55" i="24"/>
  <c r="Z55" i="24" s="1"/>
  <c r="P55" i="24"/>
  <c r="H55" i="24"/>
  <c r="D55" i="24"/>
  <c r="B55" i="24"/>
  <c r="X54" i="24"/>
  <c r="Z54" i="24" s="1"/>
  <c r="N54" i="24"/>
  <c r="L54" i="24"/>
  <c r="B54" i="24"/>
  <c r="T53" i="24"/>
  <c r="P53" i="24"/>
  <c r="J53" i="24"/>
  <c r="H53" i="24"/>
  <c r="D53" i="24"/>
  <c r="L53" i="24" s="1"/>
  <c r="N53" i="24" s="1"/>
  <c r="B53" i="24"/>
  <c r="Z52" i="24"/>
  <c r="X52" i="24"/>
  <c r="N52" i="24"/>
  <c r="L52" i="24"/>
  <c r="J52" i="24"/>
  <c r="B52" i="24"/>
  <c r="Z51" i="24"/>
  <c r="X51" i="24"/>
  <c r="V51" i="24"/>
  <c r="N51" i="24"/>
  <c r="L51" i="24"/>
  <c r="B51" i="24"/>
  <c r="X50" i="24"/>
  <c r="Z50" i="24" s="1"/>
  <c r="N50" i="24"/>
  <c r="L50" i="24"/>
  <c r="B50" i="24"/>
  <c r="Z49" i="24"/>
  <c r="X49" i="24"/>
  <c r="N49" i="24"/>
  <c r="L49" i="24"/>
  <c r="B49" i="24"/>
  <c r="Z48" i="24"/>
  <c r="X48" i="24"/>
  <c r="V48" i="24"/>
  <c r="N48" i="24"/>
  <c r="L48" i="24"/>
  <c r="B48" i="24"/>
  <c r="Z47" i="24"/>
  <c r="X47" i="24"/>
  <c r="N47" i="24"/>
  <c r="L47" i="24"/>
  <c r="J47" i="24"/>
  <c r="B47" i="24"/>
  <c r="Z46" i="24"/>
  <c r="X46" i="24"/>
  <c r="L46" i="24"/>
  <c r="N46" i="24" s="1"/>
  <c r="B46" i="24"/>
  <c r="Z45" i="24"/>
  <c r="X45" i="24"/>
  <c r="N45" i="24"/>
  <c r="L45" i="24"/>
  <c r="B45" i="24"/>
  <c r="Z44" i="24"/>
  <c r="X44" i="24"/>
  <c r="N44" i="24"/>
  <c r="L44" i="24"/>
  <c r="J44" i="24"/>
  <c r="B44" i="24"/>
  <c r="Z43" i="24"/>
  <c r="X43" i="24"/>
  <c r="V43" i="24"/>
  <c r="N43" i="24"/>
  <c r="L43" i="24"/>
  <c r="B43" i="24"/>
  <c r="X42" i="24"/>
  <c r="Z42" i="24" s="1"/>
  <c r="T42" i="24"/>
  <c r="P42" i="24"/>
  <c r="H42" i="24"/>
  <c r="D42" i="24"/>
  <c r="B42" i="24"/>
  <c r="X41" i="24"/>
  <c r="Z41" i="24" s="1"/>
  <c r="N41" i="24"/>
  <c r="L41" i="24"/>
  <c r="B41" i="24"/>
  <c r="Z40" i="24"/>
  <c r="X40" i="24"/>
  <c r="N40" i="24"/>
  <c r="L40" i="24"/>
  <c r="J40" i="24"/>
  <c r="B40" i="24"/>
  <c r="Z39" i="24"/>
  <c r="X39" i="24"/>
  <c r="V39" i="24"/>
  <c r="N39" i="24"/>
  <c r="L39" i="24"/>
  <c r="B39" i="24"/>
  <c r="Z38" i="24"/>
  <c r="X38" i="24"/>
  <c r="N38" i="24"/>
  <c r="L38" i="24"/>
  <c r="B38" i="24"/>
  <c r="Z37" i="24"/>
  <c r="X37" i="24"/>
  <c r="L37" i="24"/>
  <c r="N37" i="24" s="1"/>
  <c r="B37" i="24"/>
  <c r="Z36" i="24"/>
  <c r="X36" i="24"/>
  <c r="V36" i="24"/>
  <c r="N36" i="24"/>
  <c r="L36" i="24"/>
  <c r="B36" i="24"/>
  <c r="X35" i="24"/>
  <c r="Z35" i="24" s="1"/>
  <c r="N35" i="24"/>
  <c r="L35" i="24"/>
  <c r="J35" i="24"/>
  <c r="B35" i="24"/>
  <c r="Z34" i="24"/>
  <c r="X34" i="24"/>
  <c r="L34" i="24"/>
  <c r="N34" i="24" s="1"/>
  <c r="B34" i="24"/>
  <c r="X33" i="24"/>
  <c r="Z33" i="24" s="1"/>
  <c r="T33" i="24"/>
  <c r="P33" i="24"/>
  <c r="L33" i="24"/>
  <c r="H33" i="24"/>
  <c r="D33" i="24"/>
  <c r="B33" i="24"/>
  <c r="V32" i="24"/>
  <c r="T32" i="24"/>
  <c r="Z32" i="24" s="1"/>
  <c r="P32" i="24"/>
  <c r="X32" i="24" s="1"/>
  <c r="L32" i="24"/>
  <c r="H32" i="24"/>
  <c r="D32" i="24"/>
  <c r="T30" i="24"/>
  <c r="T84" i="24" s="1"/>
  <c r="Z28" i="24"/>
  <c r="X28" i="24"/>
  <c r="V28" i="24"/>
  <c r="N28" i="24"/>
  <c r="L28" i="24"/>
  <c r="B28" i="24"/>
  <c r="Z27" i="24"/>
  <c r="X27" i="24"/>
  <c r="N27" i="24"/>
  <c r="L27" i="24"/>
  <c r="J27" i="24"/>
  <c r="B27" i="24"/>
  <c r="Z26" i="24"/>
  <c r="X26" i="24"/>
  <c r="N26" i="24"/>
  <c r="L26" i="24"/>
  <c r="B26" i="24"/>
  <c r="Z25" i="24"/>
  <c r="X25" i="24"/>
  <c r="N25" i="24"/>
  <c r="L25" i="24"/>
  <c r="B25" i="24"/>
  <c r="Z24" i="24"/>
  <c r="X24" i="24"/>
  <c r="N24" i="24"/>
  <c r="L24" i="24"/>
  <c r="J24" i="24"/>
  <c r="B24" i="24"/>
  <c r="Z23" i="24"/>
  <c r="X23" i="24"/>
  <c r="V23" i="24"/>
  <c r="N23" i="24"/>
  <c r="L23" i="24"/>
  <c r="J23" i="24"/>
  <c r="B23" i="24"/>
  <c r="Z22" i="24"/>
  <c r="X22" i="24"/>
  <c r="N22" i="24"/>
  <c r="L22" i="24"/>
  <c r="B22" i="24"/>
  <c r="Z21" i="24"/>
  <c r="X21" i="24"/>
  <c r="N21" i="24"/>
  <c r="L21" i="24"/>
  <c r="J21" i="24"/>
  <c r="B21" i="24"/>
  <c r="Z20" i="24"/>
  <c r="X20" i="24"/>
  <c r="V20" i="24"/>
  <c r="N20" i="24"/>
  <c r="L20" i="24"/>
  <c r="B20" i="24"/>
  <c r="X19" i="24"/>
  <c r="Z19" i="24" s="1"/>
  <c r="N19" i="24"/>
  <c r="L19" i="24"/>
  <c r="J19" i="24"/>
  <c r="B19" i="24"/>
  <c r="Z18" i="24"/>
  <c r="T18" i="24"/>
  <c r="P18" i="24"/>
  <c r="X18" i="24" s="1"/>
  <c r="J18" i="24"/>
  <c r="H18" i="24"/>
  <c r="N18" i="24" s="1"/>
  <c r="D18" i="24"/>
  <c r="L18" i="24" s="1"/>
  <c r="Z16" i="24"/>
  <c r="X16" i="24"/>
  <c r="P16" i="24"/>
  <c r="N16" i="24"/>
  <c r="L16" i="24"/>
  <c r="D16" i="24"/>
  <c r="B16" i="24"/>
  <c r="Z15" i="24"/>
  <c r="P15" i="24"/>
  <c r="X15" i="24" s="1"/>
  <c r="N15" i="24"/>
  <c r="D15" i="24"/>
  <c r="L15" i="24" s="1"/>
  <c r="B15" i="24"/>
  <c r="X14" i="24"/>
  <c r="Z14" i="24" s="1"/>
  <c r="P14" i="24"/>
  <c r="N14" i="24"/>
  <c r="L14" i="24"/>
  <c r="D14" i="24"/>
  <c r="B14" i="24"/>
  <c r="P13" i="24"/>
  <c r="X13" i="24" s="1"/>
  <c r="Z13" i="24" s="1"/>
  <c r="L13" i="24"/>
  <c r="N13" i="24" s="1"/>
  <c r="D13" i="24"/>
  <c r="B13" i="24"/>
  <c r="T12" i="24"/>
  <c r="V74" i="24" s="1"/>
  <c r="H12" i="24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Z22" i="23" s="1"/>
  <c r="P22" i="23"/>
  <c r="H22" i="23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N16" i="23" s="1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P12" i="23"/>
  <c r="H12" i="23"/>
  <c r="D12" i="23"/>
  <c r="F25" i="23" s="1"/>
  <c r="D5" i="23"/>
  <c r="D4" i="23"/>
  <c r="B39" i="22"/>
  <c r="B38" i="22"/>
  <c r="T34" i="22"/>
  <c r="Z34" i="22" s="1"/>
  <c r="P34" i="22"/>
  <c r="H34" i="22"/>
  <c r="N34" i="22" s="1"/>
  <c r="D34" i="22"/>
  <c r="T33" i="22"/>
  <c r="Z33" i="22" s="1"/>
  <c r="P33" i="22"/>
  <c r="H33" i="22"/>
  <c r="D33" i="22"/>
  <c r="T29" i="22"/>
  <c r="Z29" i="22" s="1"/>
  <c r="P29" i="22"/>
  <c r="H29" i="22"/>
  <c r="D29" i="22"/>
  <c r="T25" i="22"/>
  <c r="Z25" i="22" s="1"/>
  <c r="P25" i="22"/>
  <c r="H25" i="22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P21" i="22"/>
  <c r="H21" i="22"/>
  <c r="N21" i="22" s="1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D16" i="22"/>
  <c r="B16" i="22"/>
  <c r="T15" i="22"/>
  <c r="Z15" i="22" s="1"/>
  <c r="P15" i="22"/>
  <c r="H15" i="22"/>
  <c r="D15" i="22"/>
  <c r="T13" i="22"/>
  <c r="Z13" i="22" s="1"/>
  <c r="P13" i="22"/>
  <c r="H13" i="22"/>
  <c r="N13" i="22" s="1"/>
  <c r="D13" i="22"/>
  <c r="B13" i="22"/>
  <c r="T12" i="22"/>
  <c r="P12" i="22"/>
  <c r="R16" i="22" s="1"/>
  <c r="H12" i="22"/>
  <c r="D12" i="22"/>
  <c r="F34" i="22" s="1"/>
  <c r="D5" i="22"/>
  <c r="D4" i="22"/>
  <c r="Z92" i="21"/>
  <c r="X92" i="21"/>
  <c r="V92" i="21"/>
  <c r="N92" i="21"/>
  <c r="L92" i="21"/>
  <c r="T88" i="21"/>
  <c r="Z88" i="21" s="1"/>
  <c r="P88" i="21"/>
  <c r="X88" i="21" s="1"/>
  <c r="N88" i="21"/>
  <c r="L88" i="21"/>
  <c r="H88" i="21"/>
  <c r="D88" i="21"/>
  <c r="Z86" i="21"/>
  <c r="X86" i="21"/>
  <c r="V86" i="21"/>
  <c r="N86" i="21"/>
  <c r="L86" i="21"/>
  <c r="B86" i="21"/>
  <c r="X85" i="21"/>
  <c r="V85" i="21"/>
  <c r="T85" i="21"/>
  <c r="Z85" i="21" s="1"/>
  <c r="P85" i="21"/>
  <c r="H85" i="21"/>
  <c r="D85" i="21"/>
  <c r="B85" i="21"/>
  <c r="Z84" i="21"/>
  <c r="X84" i="21"/>
  <c r="N84" i="21"/>
  <c r="L84" i="21"/>
  <c r="B84" i="21"/>
  <c r="T83" i="21"/>
  <c r="P83" i="21"/>
  <c r="H83" i="21"/>
  <c r="N83" i="21" s="1"/>
  <c r="D83" i="21"/>
  <c r="L83" i="21" s="1"/>
  <c r="B83" i="21"/>
  <c r="Z82" i="21"/>
  <c r="X82" i="21"/>
  <c r="N82" i="21"/>
  <c r="L82" i="21"/>
  <c r="B82" i="21"/>
  <c r="X81" i="21"/>
  <c r="Z81" i="21" s="1"/>
  <c r="L81" i="21"/>
  <c r="N81" i="21" s="1"/>
  <c r="B81" i="21"/>
  <c r="T80" i="21"/>
  <c r="P80" i="21"/>
  <c r="X80" i="21" s="1"/>
  <c r="Z80" i="21" s="1"/>
  <c r="H80" i="21"/>
  <c r="D80" i="21"/>
  <c r="B80" i="21"/>
  <c r="Z79" i="21"/>
  <c r="X79" i="21"/>
  <c r="L79" i="21"/>
  <c r="N79" i="21" s="1"/>
  <c r="B79" i="21"/>
  <c r="Z78" i="21"/>
  <c r="X78" i="21"/>
  <c r="N78" i="21"/>
  <c r="L78" i="21"/>
  <c r="B78" i="21"/>
  <c r="Z77" i="21"/>
  <c r="X77" i="21"/>
  <c r="N77" i="21"/>
  <c r="L77" i="21"/>
  <c r="B77" i="21"/>
  <c r="Z76" i="21"/>
  <c r="X76" i="21"/>
  <c r="N76" i="21"/>
  <c r="L76" i="21"/>
  <c r="B76" i="21"/>
  <c r="X75" i="21"/>
  <c r="Z75" i="21" s="1"/>
  <c r="N75" i="21"/>
  <c r="L75" i="21"/>
  <c r="B75" i="21"/>
  <c r="V74" i="21"/>
  <c r="T74" i="21"/>
  <c r="P74" i="21"/>
  <c r="H74" i="21"/>
  <c r="D74" i="21"/>
  <c r="L74" i="21" s="1"/>
  <c r="N74" i="21" s="1"/>
  <c r="B74" i="21"/>
  <c r="X73" i="21"/>
  <c r="Z73" i="21" s="1"/>
  <c r="L73" i="21"/>
  <c r="N73" i="21" s="1"/>
  <c r="B73" i="21"/>
  <c r="Z72" i="21"/>
  <c r="X72" i="21"/>
  <c r="N72" i="21"/>
  <c r="L72" i="21"/>
  <c r="B72" i="21"/>
  <c r="X71" i="21"/>
  <c r="Z71" i="21" s="1"/>
  <c r="N71" i="21"/>
  <c r="L71" i="21"/>
  <c r="B71" i="21"/>
  <c r="V70" i="21"/>
  <c r="T70" i="21"/>
  <c r="P70" i="21"/>
  <c r="X70" i="21" s="1"/>
  <c r="H70" i="21"/>
  <c r="D70" i="21"/>
  <c r="L70" i="21" s="1"/>
  <c r="N70" i="21" s="1"/>
  <c r="B70" i="21"/>
  <c r="X69" i="21"/>
  <c r="Z69" i="21" s="1"/>
  <c r="L69" i="21"/>
  <c r="N69" i="21" s="1"/>
  <c r="B69" i="21"/>
  <c r="T68" i="21"/>
  <c r="P68" i="21"/>
  <c r="X68" i="21" s="1"/>
  <c r="Z68" i="21" s="1"/>
  <c r="H68" i="21"/>
  <c r="D68" i="21"/>
  <c r="B68" i="21"/>
  <c r="Z67" i="21"/>
  <c r="X67" i="21"/>
  <c r="L67" i="21"/>
  <c r="N67" i="21" s="1"/>
  <c r="B67" i="21"/>
  <c r="Z66" i="21"/>
  <c r="X66" i="21"/>
  <c r="N66" i="21"/>
  <c r="L66" i="21"/>
  <c r="B66" i="21"/>
  <c r="X65" i="21"/>
  <c r="Z65" i="21" s="1"/>
  <c r="N65" i="21"/>
  <c r="L65" i="21"/>
  <c r="B65" i="21"/>
  <c r="T64" i="21"/>
  <c r="P64" i="21"/>
  <c r="X64" i="21" s="1"/>
  <c r="Z64" i="21" s="1"/>
  <c r="H64" i="21"/>
  <c r="D64" i="21"/>
  <c r="B64" i="21"/>
  <c r="Z63" i="21"/>
  <c r="X63" i="21"/>
  <c r="L63" i="21"/>
  <c r="N63" i="21" s="1"/>
  <c r="B63" i="21"/>
  <c r="T62" i="21"/>
  <c r="P62" i="21"/>
  <c r="L62" i="21"/>
  <c r="N62" i="21" s="1"/>
  <c r="H62" i="21"/>
  <c r="D62" i="21"/>
  <c r="B62" i="21"/>
  <c r="X61" i="21"/>
  <c r="Z61" i="21" s="1"/>
  <c r="V61" i="21"/>
  <c r="L61" i="21"/>
  <c r="N61" i="21" s="1"/>
  <c r="B61" i="21"/>
  <c r="Z60" i="21"/>
  <c r="X60" i="21"/>
  <c r="T60" i="21"/>
  <c r="P60" i="21"/>
  <c r="H60" i="21"/>
  <c r="D60" i="21"/>
  <c r="L60" i="21" s="1"/>
  <c r="B60" i="21"/>
  <c r="X59" i="21"/>
  <c r="Z59" i="21" s="1"/>
  <c r="N59" i="21"/>
  <c r="L59" i="21"/>
  <c r="B59" i="21"/>
  <c r="T58" i="21"/>
  <c r="P58" i="21"/>
  <c r="N58" i="21"/>
  <c r="H58" i="21"/>
  <c r="D58" i="21"/>
  <c r="L58" i="21" s="1"/>
  <c r="B58" i="21"/>
  <c r="X57" i="21"/>
  <c r="Z57" i="21" s="1"/>
  <c r="L57" i="21"/>
  <c r="N57" i="21" s="1"/>
  <c r="B57" i="21"/>
  <c r="T56" i="21"/>
  <c r="P56" i="21"/>
  <c r="X56" i="21" s="1"/>
  <c r="Z56" i="21" s="1"/>
  <c r="H56" i="21"/>
  <c r="D56" i="21"/>
  <c r="B56" i="21"/>
  <c r="Z55" i="21"/>
  <c r="X55" i="21"/>
  <c r="L55" i="21"/>
  <c r="N55" i="21" s="1"/>
  <c r="B55" i="21"/>
  <c r="Z54" i="21"/>
  <c r="X54" i="21"/>
  <c r="N54" i="21"/>
  <c r="L54" i="21"/>
  <c r="B54" i="21"/>
  <c r="T53" i="21"/>
  <c r="Z53" i="21" s="1"/>
  <c r="P53" i="21"/>
  <c r="X53" i="21" s="1"/>
  <c r="N53" i="21"/>
  <c r="H53" i="21"/>
  <c r="D53" i="21"/>
  <c r="L53" i="21" s="1"/>
  <c r="B53" i="21"/>
  <c r="X52" i="21"/>
  <c r="Z52" i="21" s="1"/>
  <c r="N52" i="21"/>
  <c r="L52" i="21"/>
  <c r="B52" i="21"/>
  <c r="Z51" i="21"/>
  <c r="T51" i="21"/>
  <c r="P51" i="21"/>
  <c r="X51" i="21" s="1"/>
  <c r="L51" i="21"/>
  <c r="H51" i="21"/>
  <c r="N51" i="21" s="1"/>
  <c r="D51" i="21"/>
  <c r="B51" i="21"/>
  <c r="Z50" i="21"/>
  <c r="X50" i="21"/>
  <c r="V50" i="21"/>
  <c r="N50" i="21"/>
  <c r="L50" i="21"/>
  <c r="B50" i="21"/>
  <c r="X49" i="21"/>
  <c r="V49" i="21"/>
  <c r="T49" i="21"/>
  <c r="Z49" i="21" s="1"/>
  <c r="P49" i="21"/>
  <c r="H49" i="21"/>
  <c r="D49" i="21"/>
  <c r="B49" i="21"/>
  <c r="Z48" i="21"/>
  <c r="X48" i="21"/>
  <c r="N48" i="21"/>
  <c r="L48" i="21"/>
  <c r="B48" i="21"/>
  <c r="T47" i="21"/>
  <c r="P47" i="21"/>
  <c r="H47" i="21"/>
  <c r="N47" i="21" s="1"/>
  <c r="D47" i="21"/>
  <c r="L47" i="21" s="1"/>
  <c r="B47" i="21"/>
  <c r="Z46" i="21"/>
  <c r="X46" i="21"/>
  <c r="N46" i="21"/>
  <c r="L46" i="21"/>
  <c r="B46" i="21"/>
  <c r="Z45" i="21"/>
  <c r="X45" i="21"/>
  <c r="N45" i="21"/>
  <c r="L45" i="21"/>
  <c r="B45" i="21"/>
  <c r="Z44" i="21"/>
  <c r="X44" i="21"/>
  <c r="L44" i="21"/>
  <c r="N44" i="21" s="1"/>
  <c r="B44" i="21"/>
  <c r="Z43" i="21"/>
  <c r="X43" i="21"/>
  <c r="N43" i="21"/>
  <c r="L43" i="21"/>
  <c r="B43" i="21"/>
  <c r="Z42" i="21"/>
  <c r="X42" i="21"/>
  <c r="V42" i="21"/>
  <c r="N42" i="21"/>
  <c r="L42" i="21"/>
  <c r="B42" i="21"/>
  <c r="Z41" i="21"/>
  <c r="X41" i="21"/>
  <c r="V41" i="21"/>
  <c r="N41" i="21"/>
  <c r="L41" i="21"/>
  <c r="B41" i="21"/>
  <c r="X40" i="21"/>
  <c r="Z40" i="21" s="1"/>
  <c r="N40" i="21"/>
  <c r="L40" i="21"/>
  <c r="B40" i="21"/>
  <c r="Z39" i="21"/>
  <c r="X39" i="21"/>
  <c r="N39" i="21"/>
  <c r="L39" i="21"/>
  <c r="B39" i="21"/>
  <c r="Z38" i="21"/>
  <c r="X38" i="21"/>
  <c r="N38" i="21"/>
  <c r="L38" i="21"/>
  <c r="B38" i="21"/>
  <c r="Z37" i="21"/>
  <c r="X37" i="21"/>
  <c r="N37" i="21"/>
  <c r="L37" i="21"/>
  <c r="B37" i="21"/>
  <c r="T36" i="21"/>
  <c r="P36" i="21"/>
  <c r="X36" i="21" s="1"/>
  <c r="Z36" i="21" s="1"/>
  <c r="H36" i="21"/>
  <c r="D36" i="21"/>
  <c r="B36" i="21"/>
  <c r="Z35" i="21"/>
  <c r="X35" i="21"/>
  <c r="N35" i="21"/>
  <c r="L35" i="21"/>
  <c r="B35" i="21"/>
  <c r="Z34" i="21"/>
  <c r="X34" i="21"/>
  <c r="N34" i="21"/>
  <c r="L34" i="21"/>
  <c r="B34" i="21"/>
  <c r="X33" i="21"/>
  <c r="Z33" i="21" s="1"/>
  <c r="L33" i="21"/>
  <c r="N33" i="21" s="1"/>
  <c r="B33" i="21"/>
  <c r="Z32" i="21"/>
  <c r="X32" i="21"/>
  <c r="N32" i="21"/>
  <c r="L32" i="21"/>
  <c r="B32" i="21"/>
  <c r="X31" i="21"/>
  <c r="Z31" i="21" s="1"/>
  <c r="N31" i="21"/>
  <c r="L31" i="21"/>
  <c r="B31" i="21"/>
  <c r="Z30" i="21"/>
  <c r="X30" i="21"/>
  <c r="V30" i="21"/>
  <c r="N30" i="21"/>
  <c r="L30" i="21"/>
  <c r="B30" i="21"/>
  <c r="X29" i="21"/>
  <c r="Z29" i="21" s="1"/>
  <c r="V29" i="21"/>
  <c r="L29" i="21"/>
  <c r="N29" i="21" s="1"/>
  <c r="B29" i="21"/>
  <c r="X28" i="21"/>
  <c r="Z28" i="21" s="1"/>
  <c r="N28" i="21"/>
  <c r="L28" i="21"/>
  <c r="B28" i="21"/>
  <c r="Z27" i="21"/>
  <c r="X27" i="21"/>
  <c r="L27" i="21"/>
  <c r="N27" i="21" s="1"/>
  <c r="B27" i="21"/>
  <c r="T26" i="21"/>
  <c r="Z26" i="21" s="1"/>
  <c r="P26" i="21"/>
  <c r="X26" i="21" s="1"/>
  <c r="L26" i="21"/>
  <c r="N26" i="21" s="1"/>
  <c r="H26" i="21"/>
  <c r="D26" i="21"/>
  <c r="B26" i="21"/>
  <c r="X25" i="21"/>
  <c r="V25" i="21"/>
  <c r="T25" i="21"/>
  <c r="P25" i="21"/>
  <c r="H25" i="21"/>
  <c r="D25" i="21"/>
  <c r="Z21" i="21"/>
  <c r="X21" i="21"/>
  <c r="V21" i="21"/>
  <c r="N21" i="21"/>
  <c r="L21" i="21"/>
  <c r="B21" i="21"/>
  <c r="Z20" i="21"/>
  <c r="X20" i="21"/>
  <c r="N20" i="21"/>
  <c r="L20" i="21"/>
  <c r="B20" i="21"/>
  <c r="Z19" i="21"/>
  <c r="X19" i="21"/>
  <c r="L19" i="21"/>
  <c r="N19" i="21" s="1"/>
  <c r="B19" i="21"/>
  <c r="T18" i="21"/>
  <c r="Z18" i="21" s="1"/>
  <c r="P18" i="21"/>
  <c r="X18" i="21" s="1"/>
  <c r="L18" i="21"/>
  <c r="N18" i="21" s="1"/>
  <c r="H18" i="21"/>
  <c r="D18" i="21"/>
  <c r="Z16" i="21"/>
  <c r="P16" i="21"/>
  <c r="X16" i="21" s="1"/>
  <c r="N16" i="21"/>
  <c r="L16" i="21"/>
  <c r="D16" i="21"/>
  <c r="B16" i="21"/>
  <c r="X15" i="21"/>
  <c r="Z15" i="21" s="1"/>
  <c r="P15" i="21"/>
  <c r="L15" i="21"/>
  <c r="N15" i="21" s="1"/>
  <c r="D15" i="21"/>
  <c r="B15" i="21"/>
  <c r="Z14" i="21"/>
  <c r="P14" i="21"/>
  <c r="X14" i="21" s="1"/>
  <c r="N14" i="21"/>
  <c r="L14" i="21"/>
  <c r="D14" i="21"/>
  <c r="B14" i="21"/>
  <c r="X13" i="21"/>
  <c r="Z13" i="21" s="1"/>
  <c r="P13" i="21"/>
  <c r="D13" i="21"/>
  <c r="L13" i="21" s="1"/>
  <c r="N13" i="21" s="1"/>
  <c r="B13" i="21"/>
  <c r="T12" i="21"/>
  <c r="V60" i="21" s="1"/>
  <c r="H12" i="21"/>
  <c r="J54" i="21" s="1"/>
  <c r="D4" i="21"/>
  <c r="B39" i="20"/>
  <c r="B38" i="20"/>
  <c r="T34" i="20"/>
  <c r="Z34" i="20" s="1"/>
  <c r="P34" i="20"/>
  <c r="H34" i="20"/>
  <c r="N34" i="20" s="1"/>
  <c r="D34" i="20"/>
  <c r="T33" i="20"/>
  <c r="P33" i="20"/>
  <c r="H33" i="20"/>
  <c r="N33" i="20" s="1"/>
  <c r="D33" i="20"/>
  <c r="T29" i="20"/>
  <c r="P29" i="20"/>
  <c r="H29" i="20"/>
  <c r="N29" i="20" s="1"/>
  <c r="D29" i="20"/>
  <c r="T25" i="20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Z22" i="20" s="1"/>
  <c r="P22" i="20"/>
  <c r="H22" i="20"/>
  <c r="N22" i="20" s="1"/>
  <c r="D22" i="20"/>
  <c r="B22" i="20"/>
  <c r="T21" i="20"/>
  <c r="Z21" i="20" s="1"/>
  <c r="P21" i="20"/>
  <c r="H21" i="20"/>
  <c r="N21" i="20" s="1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V20" i="20" s="1"/>
  <c r="P12" i="20"/>
  <c r="H12" i="20"/>
  <c r="J31" i="20" s="1"/>
  <c r="D12" i="20"/>
  <c r="F22" i="20" s="1"/>
  <c r="D5" i="20"/>
  <c r="D4" i="20"/>
  <c r="B39" i="19"/>
  <c r="B38" i="19"/>
  <c r="T34" i="19"/>
  <c r="Z34" i="19" s="1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L25" i="19" s="1"/>
  <c r="B25" i="19"/>
  <c r="T24" i="19"/>
  <c r="Z24" i="19" s="1"/>
  <c r="P24" i="19"/>
  <c r="H24" i="19"/>
  <c r="N24" i="19" s="1"/>
  <c r="D24" i="19"/>
  <c r="T22" i="19"/>
  <c r="Z22" i="19" s="1"/>
  <c r="P22" i="19"/>
  <c r="H22" i="19"/>
  <c r="D22" i="19"/>
  <c r="B22" i="19"/>
  <c r="T21" i="19"/>
  <c r="Z21" i="19" s="1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Z16" i="19" s="1"/>
  <c r="P16" i="19"/>
  <c r="H16" i="19"/>
  <c r="N16" i="19" s="1"/>
  <c r="D16" i="19"/>
  <c r="B16" i="19"/>
  <c r="T15" i="19"/>
  <c r="Z15" i="19" s="1"/>
  <c r="P15" i="19"/>
  <c r="H15" i="19"/>
  <c r="N15" i="19" s="1"/>
  <c r="D15" i="19"/>
  <c r="T13" i="19"/>
  <c r="Z13" i="19" s="1"/>
  <c r="P13" i="19"/>
  <c r="H13" i="19"/>
  <c r="N13" i="19" s="1"/>
  <c r="D13" i="19"/>
  <c r="L13" i="19" s="1"/>
  <c r="B13" i="19"/>
  <c r="T12" i="19"/>
  <c r="V20" i="19" s="1"/>
  <c r="P12" i="19"/>
  <c r="H12" i="19"/>
  <c r="J20" i="19" s="1"/>
  <c r="D12" i="19"/>
  <c r="F20" i="19" s="1"/>
  <c r="D5" i="19"/>
  <c r="D4" i="19"/>
  <c r="X161" i="18"/>
  <c r="Z161" i="18" s="1"/>
  <c r="N161" i="18"/>
  <c r="L161" i="18"/>
  <c r="Z157" i="18"/>
  <c r="P157" i="18"/>
  <c r="X157" i="18" s="1"/>
  <c r="N157" i="18"/>
  <c r="J157" i="18"/>
  <c r="D157" i="18"/>
  <c r="L157" i="18" s="1"/>
  <c r="B157" i="18"/>
  <c r="Z156" i="18"/>
  <c r="P156" i="18"/>
  <c r="X156" i="18" s="1"/>
  <c r="N156" i="18"/>
  <c r="D156" i="18"/>
  <c r="L156" i="18" s="1"/>
  <c r="B156" i="18"/>
  <c r="Z155" i="18"/>
  <c r="X155" i="18"/>
  <c r="P155" i="18"/>
  <c r="N155" i="18"/>
  <c r="D155" i="18"/>
  <c r="B155" i="18"/>
  <c r="P154" i="18"/>
  <c r="X154" i="18" s="1"/>
  <c r="Z154" i="18" s="1"/>
  <c r="N154" i="18"/>
  <c r="L154" i="18"/>
  <c r="J154" i="18"/>
  <c r="D154" i="18"/>
  <c r="B154" i="18"/>
  <c r="P153" i="18"/>
  <c r="X153" i="18" s="1"/>
  <c r="Z153" i="18" s="1"/>
  <c r="D153" i="18"/>
  <c r="L153" i="18" s="1"/>
  <c r="N153" i="18" s="1"/>
  <c r="B153" i="18"/>
  <c r="Z152" i="18"/>
  <c r="X152" i="18"/>
  <c r="P152" i="18"/>
  <c r="N152" i="18"/>
  <c r="D152" i="18"/>
  <c r="L152" i="18" s="1"/>
  <c r="B152" i="18"/>
  <c r="Z151" i="18"/>
  <c r="X151" i="18"/>
  <c r="P151" i="18"/>
  <c r="P150" i="18" s="1"/>
  <c r="X150" i="18" s="1"/>
  <c r="N151" i="18"/>
  <c r="L151" i="18"/>
  <c r="D151" i="18"/>
  <c r="B151" i="18"/>
  <c r="V150" i="18"/>
  <c r="T150" i="18"/>
  <c r="H150" i="18"/>
  <c r="Z148" i="18"/>
  <c r="X148" i="18"/>
  <c r="N148" i="18"/>
  <c r="L148" i="18"/>
  <c r="J148" i="18"/>
  <c r="B148" i="18"/>
  <c r="T147" i="18"/>
  <c r="P147" i="18"/>
  <c r="X147" i="18" s="1"/>
  <c r="H147" i="18"/>
  <c r="D147" i="18"/>
  <c r="L147" i="18" s="1"/>
  <c r="N147" i="18" s="1"/>
  <c r="B147" i="18"/>
  <c r="X146" i="18"/>
  <c r="Z146" i="18" s="1"/>
  <c r="N146" i="18"/>
  <c r="L146" i="18"/>
  <c r="B146" i="18"/>
  <c r="Z145" i="18"/>
  <c r="X145" i="18"/>
  <c r="L145" i="18"/>
  <c r="N145" i="18" s="1"/>
  <c r="B145" i="18"/>
  <c r="Z144" i="18"/>
  <c r="X144" i="18"/>
  <c r="N144" i="18"/>
  <c r="L144" i="18"/>
  <c r="J144" i="18"/>
  <c r="B144" i="18"/>
  <c r="T143" i="18"/>
  <c r="Z143" i="18" s="1"/>
  <c r="P143" i="18"/>
  <c r="X143" i="18" s="1"/>
  <c r="N143" i="18"/>
  <c r="H143" i="18"/>
  <c r="D143" i="18"/>
  <c r="L143" i="18" s="1"/>
  <c r="B143" i="18"/>
  <c r="Z142" i="18"/>
  <c r="X142" i="18"/>
  <c r="N142" i="18"/>
  <c r="L142" i="18"/>
  <c r="B142" i="18"/>
  <c r="Z141" i="18"/>
  <c r="T141" i="18"/>
  <c r="P141" i="18"/>
  <c r="X141" i="18" s="1"/>
  <c r="L141" i="18"/>
  <c r="J141" i="18"/>
  <c r="H141" i="18"/>
  <c r="N141" i="18" s="1"/>
  <c r="D141" i="18"/>
  <c r="B141" i="18"/>
  <c r="Z140" i="18"/>
  <c r="X140" i="18"/>
  <c r="V140" i="18"/>
  <c r="N140" i="18"/>
  <c r="L140" i="18"/>
  <c r="B140" i="18"/>
  <c r="Z139" i="18"/>
  <c r="X139" i="18"/>
  <c r="N139" i="18"/>
  <c r="L139" i="18"/>
  <c r="B139" i="18"/>
  <c r="Z138" i="18"/>
  <c r="X138" i="18"/>
  <c r="T138" i="18"/>
  <c r="P138" i="18"/>
  <c r="H138" i="18"/>
  <c r="D138" i="18"/>
  <c r="B138" i="18"/>
  <c r="X137" i="18"/>
  <c r="Z137" i="18" s="1"/>
  <c r="N137" i="18"/>
  <c r="L137" i="18"/>
  <c r="B137" i="18"/>
  <c r="Z136" i="18"/>
  <c r="X136" i="18"/>
  <c r="N136" i="18"/>
  <c r="L136" i="18"/>
  <c r="B136" i="18"/>
  <c r="X135" i="18"/>
  <c r="Z135" i="18" s="1"/>
  <c r="V135" i="18"/>
  <c r="L135" i="18"/>
  <c r="N135" i="18" s="1"/>
  <c r="B135" i="18"/>
  <c r="Z134" i="18"/>
  <c r="X134" i="18"/>
  <c r="N134" i="18"/>
  <c r="L134" i="18"/>
  <c r="B134" i="18"/>
  <c r="Z133" i="18"/>
  <c r="X133" i="18"/>
  <c r="L133" i="18"/>
  <c r="N133" i="18" s="1"/>
  <c r="B133" i="18"/>
  <c r="Z132" i="18"/>
  <c r="X132" i="18"/>
  <c r="N132" i="18"/>
  <c r="L132" i="18"/>
  <c r="J132" i="18"/>
  <c r="B132" i="18"/>
  <c r="X131" i="18"/>
  <c r="Z131" i="18" s="1"/>
  <c r="L131" i="18"/>
  <c r="N131" i="18" s="1"/>
  <c r="J131" i="18"/>
  <c r="B131" i="18"/>
  <c r="T130" i="18"/>
  <c r="P130" i="18"/>
  <c r="X130" i="18" s="1"/>
  <c r="Z130" i="18" s="1"/>
  <c r="H130" i="18"/>
  <c r="N130" i="18" s="1"/>
  <c r="D130" i="18"/>
  <c r="L130" i="18" s="1"/>
  <c r="B130" i="18"/>
  <c r="Z129" i="18"/>
  <c r="X129" i="18"/>
  <c r="L129" i="18"/>
  <c r="N129" i="18" s="1"/>
  <c r="B129" i="18"/>
  <c r="Z128" i="18"/>
  <c r="X128" i="18"/>
  <c r="N128" i="18"/>
  <c r="L128" i="18"/>
  <c r="J128" i="18"/>
  <c r="B128" i="18"/>
  <c r="T127" i="18"/>
  <c r="Z127" i="18" s="1"/>
  <c r="P127" i="18"/>
  <c r="X127" i="18" s="1"/>
  <c r="H127" i="18"/>
  <c r="D127" i="18"/>
  <c r="L127" i="18" s="1"/>
  <c r="N127" i="18" s="1"/>
  <c r="B127" i="18"/>
  <c r="Z126" i="18"/>
  <c r="X126" i="18"/>
  <c r="N126" i="18"/>
  <c r="L126" i="18"/>
  <c r="B126" i="18"/>
  <c r="Z125" i="18"/>
  <c r="X125" i="18"/>
  <c r="L125" i="18"/>
  <c r="N125" i="18" s="1"/>
  <c r="B125" i="18"/>
  <c r="Z124" i="18"/>
  <c r="X124" i="18"/>
  <c r="N124" i="18"/>
  <c r="L124" i="18"/>
  <c r="J124" i="18"/>
  <c r="B124" i="18"/>
  <c r="T123" i="18"/>
  <c r="P123" i="18"/>
  <c r="X123" i="18" s="1"/>
  <c r="N123" i="18"/>
  <c r="H123" i="18"/>
  <c r="D123" i="18"/>
  <c r="L123" i="18" s="1"/>
  <c r="B123" i="18"/>
  <c r="X122" i="18"/>
  <c r="Z122" i="18" s="1"/>
  <c r="N122" i="18"/>
  <c r="L122" i="18"/>
  <c r="B122" i="18"/>
  <c r="Z121" i="18"/>
  <c r="X121" i="18"/>
  <c r="N121" i="18"/>
  <c r="L121" i="18"/>
  <c r="B121" i="18"/>
  <c r="Z120" i="18"/>
  <c r="X120" i="18"/>
  <c r="N120" i="18"/>
  <c r="L120" i="18"/>
  <c r="J120" i="18"/>
  <c r="B120" i="18"/>
  <c r="X119" i="18"/>
  <c r="Z119" i="18" s="1"/>
  <c r="L119" i="18"/>
  <c r="N119" i="18" s="1"/>
  <c r="J119" i="18"/>
  <c r="B119" i="18"/>
  <c r="T118" i="18"/>
  <c r="P118" i="18"/>
  <c r="X118" i="18" s="1"/>
  <c r="Z118" i="18" s="1"/>
  <c r="H118" i="18"/>
  <c r="L118" i="18" s="1"/>
  <c r="N118" i="18" s="1"/>
  <c r="D118" i="18"/>
  <c r="B118" i="18"/>
  <c r="Z117" i="18"/>
  <c r="X117" i="18"/>
  <c r="L117" i="18"/>
  <c r="N117" i="18" s="1"/>
  <c r="B117" i="18"/>
  <c r="Z116" i="18"/>
  <c r="X116" i="18"/>
  <c r="N116" i="18"/>
  <c r="L116" i="18"/>
  <c r="J116" i="18"/>
  <c r="B116" i="18"/>
  <c r="X115" i="18"/>
  <c r="Z115" i="18" s="1"/>
  <c r="L115" i="18"/>
  <c r="N115" i="18" s="1"/>
  <c r="J115" i="18"/>
  <c r="B115" i="18"/>
  <c r="Z114" i="18"/>
  <c r="X114" i="18"/>
  <c r="L114" i="18"/>
  <c r="N114" i="18" s="1"/>
  <c r="B114" i="18"/>
  <c r="T113" i="18"/>
  <c r="P113" i="18"/>
  <c r="H113" i="18"/>
  <c r="N113" i="18" s="1"/>
  <c r="D113" i="18"/>
  <c r="L113" i="18" s="1"/>
  <c r="B113" i="18"/>
  <c r="Z112" i="18"/>
  <c r="X112" i="18"/>
  <c r="N112" i="18"/>
  <c r="L112" i="18"/>
  <c r="J112" i="18"/>
  <c r="B112" i="18"/>
  <c r="T111" i="18"/>
  <c r="P111" i="18"/>
  <c r="X111" i="18" s="1"/>
  <c r="H111" i="18"/>
  <c r="D111" i="18"/>
  <c r="L111" i="18" s="1"/>
  <c r="N111" i="18" s="1"/>
  <c r="B111" i="18"/>
  <c r="Z110" i="18"/>
  <c r="X110" i="18"/>
  <c r="N110" i="18"/>
  <c r="L110" i="18"/>
  <c r="B110" i="18"/>
  <c r="Z109" i="18"/>
  <c r="T109" i="18"/>
  <c r="P109" i="18"/>
  <c r="X109" i="18" s="1"/>
  <c r="L109" i="18"/>
  <c r="J109" i="18"/>
  <c r="H109" i="18"/>
  <c r="D109" i="18"/>
  <c r="B109" i="18"/>
  <c r="Z108" i="18"/>
  <c r="X108" i="18"/>
  <c r="N108" i="18"/>
  <c r="L108" i="18"/>
  <c r="B108" i="18"/>
  <c r="X107" i="18"/>
  <c r="V107" i="18"/>
  <c r="T107" i="18"/>
  <c r="Z107" i="18" s="1"/>
  <c r="P107" i="18"/>
  <c r="H107" i="18"/>
  <c r="D107" i="18"/>
  <c r="B107" i="18"/>
  <c r="Z106" i="18"/>
  <c r="X106" i="18"/>
  <c r="L106" i="18"/>
  <c r="N106" i="18" s="1"/>
  <c r="B106" i="18"/>
  <c r="T105" i="18"/>
  <c r="P105" i="18"/>
  <c r="H105" i="18"/>
  <c r="D105" i="18"/>
  <c r="L105" i="18" s="1"/>
  <c r="B105" i="18"/>
  <c r="Z104" i="18"/>
  <c r="X104" i="18"/>
  <c r="N104" i="18"/>
  <c r="L104" i="18"/>
  <c r="J104" i="18"/>
  <c r="B104" i="18"/>
  <c r="X103" i="18"/>
  <c r="Z103" i="18" s="1"/>
  <c r="N103" i="18"/>
  <c r="L103" i="18"/>
  <c r="J103" i="18"/>
  <c r="B103" i="18"/>
  <c r="T102" i="18"/>
  <c r="P102" i="18"/>
  <c r="X102" i="18" s="1"/>
  <c r="Z102" i="18" s="1"/>
  <c r="H102" i="18"/>
  <c r="L102" i="18" s="1"/>
  <c r="N102" i="18" s="1"/>
  <c r="D102" i="18"/>
  <c r="B102" i="18"/>
  <c r="Z101" i="18"/>
  <c r="X101" i="18"/>
  <c r="L101" i="18"/>
  <c r="N101" i="18" s="1"/>
  <c r="B101" i="18"/>
  <c r="Z100" i="18"/>
  <c r="X100" i="18"/>
  <c r="N100" i="18"/>
  <c r="L100" i="18"/>
  <c r="J100" i="18"/>
  <c r="B100" i="18"/>
  <c r="T99" i="18"/>
  <c r="Z99" i="18" s="1"/>
  <c r="P99" i="18"/>
  <c r="X99" i="18" s="1"/>
  <c r="N99" i="18"/>
  <c r="H99" i="18"/>
  <c r="D99" i="18"/>
  <c r="L99" i="18" s="1"/>
  <c r="B99" i="18"/>
  <c r="Z98" i="18"/>
  <c r="X98" i="18"/>
  <c r="N98" i="18"/>
  <c r="L98" i="18"/>
  <c r="B98" i="18"/>
  <c r="Z97" i="18"/>
  <c r="T97" i="18"/>
  <c r="P97" i="18"/>
  <c r="X97" i="18" s="1"/>
  <c r="L97" i="18"/>
  <c r="J97" i="18"/>
  <c r="H97" i="18"/>
  <c r="N97" i="18" s="1"/>
  <c r="D97" i="18"/>
  <c r="B97" i="18"/>
  <c r="Z96" i="18"/>
  <c r="X96" i="18"/>
  <c r="R96" i="18"/>
  <c r="N96" i="18"/>
  <c r="L96" i="18"/>
  <c r="B96" i="18"/>
  <c r="X95" i="18"/>
  <c r="T95" i="18"/>
  <c r="P95" i="18"/>
  <c r="H95" i="18"/>
  <c r="D95" i="18"/>
  <c r="B95" i="18"/>
  <c r="Z94" i="18"/>
  <c r="X94" i="18"/>
  <c r="N94" i="18"/>
  <c r="L94" i="18"/>
  <c r="B94" i="18"/>
  <c r="T93" i="18"/>
  <c r="R93" i="18"/>
  <c r="P93" i="18"/>
  <c r="H93" i="18"/>
  <c r="D93" i="18"/>
  <c r="L93" i="18" s="1"/>
  <c r="B93" i="18"/>
  <c r="Z92" i="18"/>
  <c r="X92" i="18"/>
  <c r="N92" i="18"/>
  <c r="L92" i="18"/>
  <c r="J92" i="18"/>
  <c r="B92" i="18"/>
  <c r="Z91" i="18"/>
  <c r="X91" i="18"/>
  <c r="N91" i="18"/>
  <c r="L91" i="18"/>
  <c r="J91" i="18"/>
  <c r="B91" i="18"/>
  <c r="Z90" i="18"/>
  <c r="T90" i="18"/>
  <c r="P90" i="18"/>
  <c r="X90" i="18" s="1"/>
  <c r="N90" i="18"/>
  <c r="H90" i="18"/>
  <c r="L90" i="18" s="1"/>
  <c r="D90" i="18"/>
  <c r="B90" i="18"/>
  <c r="Z89" i="18"/>
  <c r="X89" i="18"/>
  <c r="L89" i="18"/>
  <c r="N89" i="18" s="1"/>
  <c r="B89" i="18"/>
  <c r="Z88" i="18"/>
  <c r="X88" i="18"/>
  <c r="N88" i="18"/>
  <c r="L88" i="18"/>
  <c r="J88" i="18"/>
  <c r="B88" i="18"/>
  <c r="T87" i="18"/>
  <c r="Z87" i="18" s="1"/>
  <c r="P87" i="18"/>
  <c r="X87" i="18" s="1"/>
  <c r="N87" i="18"/>
  <c r="H87" i="18"/>
  <c r="D87" i="18"/>
  <c r="L87" i="18" s="1"/>
  <c r="B87" i="18"/>
  <c r="Z86" i="18"/>
  <c r="X86" i="18"/>
  <c r="N86" i="18"/>
  <c r="L86" i="18"/>
  <c r="B86" i="18"/>
  <c r="T85" i="18"/>
  <c r="P85" i="18"/>
  <c r="X85" i="18" s="1"/>
  <c r="Z85" i="18" s="1"/>
  <c r="L85" i="18"/>
  <c r="J85" i="18"/>
  <c r="H85" i="18"/>
  <c r="N85" i="18" s="1"/>
  <c r="D85" i="18"/>
  <c r="B85" i="18"/>
  <c r="Z84" i="18"/>
  <c r="X84" i="18"/>
  <c r="N84" i="18"/>
  <c r="L84" i="18"/>
  <c r="B84" i="18"/>
  <c r="X83" i="18"/>
  <c r="T83" i="18"/>
  <c r="P83" i="18"/>
  <c r="H83" i="18"/>
  <c r="D83" i="18"/>
  <c r="B83" i="18"/>
  <c r="Z82" i="18"/>
  <c r="X82" i="18"/>
  <c r="N82" i="18"/>
  <c r="L82" i="18"/>
  <c r="B82" i="18"/>
  <c r="T81" i="18"/>
  <c r="R81" i="18"/>
  <c r="P81" i="18"/>
  <c r="H81" i="18"/>
  <c r="N81" i="18" s="1"/>
  <c r="D81" i="18"/>
  <c r="L81" i="18" s="1"/>
  <c r="B81" i="18"/>
  <c r="Z80" i="18"/>
  <c r="X80" i="18"/>
  <c r="N80" i="18"/>
  <c r="L80" i="18"/>
  <c r="J80" i="18"/>
  <c r="B80" i="18"/>
  <c r="Z79" i="18"/>
  <c r="X79" i="18"/>
  <c r="N79" i="18"/>
  <c r="L79" i="18"/>
  <c r="J79" i="18"/>
  <c r="B79" i="18"/>
  <c r="Z78" i="18"/>
  <c r="X78" i="18"/>
  <c r="N78" i="18"/>
  <c r="L78" i="18"/>
  <c r="B78" i="18"/>
  <c r="X77" i="18"/>
  <c r="Z77" i="18" s="1"/>
  <c r="R77" i="18"/>
  <c r="N77" i="18"/>
  <c r="L77" i="18"/>
  <c r="B77" i="18"/>
  <c r="Z76" i="18"/>
  <c r="X76" i="18"/>
  <c r="N76" i="18"/>
  <c r="L76" i="18"/>
  <c r="B76" i="18"/>
  <c r="X75" i="18"/>
  <c r="Z75" i="18" s="1"/>
  <c r="L75" i="18"/>
  <c r="N75" i="18" s="1"/>
  <c r="B75" i="18"/>
  <c r="X74" i="18"/>
  <c r="Z74" i="18" s="1"/>
  <c r="N74" i="18"/>
  <c r="L74" i="18"/>
  <c r="B74" i="18"/>
  <c r="Z73" i="18"/>
  <c r="X73" i="18"/>
  <c r="N73" i="18"/>
  <c r="L73" i="18"/>
  <c r="B73" i="18"/>
  <c r="Z72" i="18"/>
  <c r="X72" i="18"/>
  <c r="N72" i="18"/>
  <c r="L72" i="18"/>
  <c r="J72" i="18"/>
  <c r="B72" i="18"/>
  <c r="X71" i="18"/>
  <c r="Z71" i="18" s="1"/>
  <c r="L71" i="18"/>
  <c r="N71" i="18" s="1"/>
  <c r="J71" i="18"/>
  <c r="B71" i="18"/>
  <c r="T70" i="18"/>
  <c r="P70" i="18"/>
  <c r="X70" i="18" s="1"/>
  <c r="Z70" i="18" s="1"/>
  <c r="H70" i="18"/>
  <c r="D70" i="18"/>
  <c r="L70" i="18" s="1"/>
  <c r="N70" i="18" s="1"/>
  <c r="B70" i="18"/>
  <c r="Z69" i="18"/>
  <c r="X69" i="18"/>
  <c r="L69" i="18"/>
  <c r="N69" i="18" s="1"/>
  <c r="B69" i="18"/>
  <c r="Z68" i="18"/>
  <c r="X68" i="18"/>
  <c r="N68" i="18"/>
  <c r="L68" i="18"/>
  <c r="J68" i="18"/>
  <c r="B68" i="18"/>
  <c r="X67" i="18"/>
  <c r="Z67" i="18" s="1"/>
  <c r="L67" i="18"/>
  <c r="N67" i="18" s="1"/>
  <c r="J67" i="18"/>
  <c r="B67" i="18"/>
  <c r="Z66" i="18"/>
  <c r="X66" i="18"/>
  <c r="N66" i="18"/>
  <c r="L66" i="18"/>
  <c r="B66" i="18"/>
  <c r="Z65" i="18"/>
  <c r="X65" i="18"/>
  <c r="N65" i="18"/>
  <c r="L65" i="18"/>
  <c r="B65" i="18"/>
  <c r="Z64" i="18"/>
  <c r="X64" i="18"/>
  <c r="V64" i="18"/>
  <c r="N64" i="18"/>
  <c r="L64" i="18"/>
  <c r="B64" i="18"/>
  <c r="X63" i="18"/>
  <c r="Z63" i="18" s="1"/>
  <c r="L63" i="18"/>
  <c r="N63" i="18" s="1"/>
  <c r="B63" i="18"/>
  <c r="X62" i="18"/>
  <c r="Z62" i="18" s="1"/>
  <c r="N62" i="18"/>
  <c r="L62" i="18"/>
  <c r="B62" i="18"/>
  <c r="Z61" i="18"/>
  <c r="X61" i="18"/>
  <c r="L61" i="18"/>
  <c r="N61" i="18" s="1"/>
  <c r="B61" i="18"/>
  <c r="Z60" i="18"/>
  <c r="X60" i="18"/>
  <c r="N60" i="18"/>
  <c r="L60" i="18"/>
  <c r="J60" i="18"/>
  <c r="B60" i="18"/>
  <c r="T59" i="18"/>
  <c r="Z59" i="18" s="1"/>
  <c r="P59" i="18"/>
  <c r="X59" i="18" s="1"/>
  <c r="N59" i="18"/>
  <c r="H59" i="18"/>
  <c r="D59" i="18"/>
  <c r="L59" i="18" s="1"/>
  <c r="B59" i="18"/>
  <c r="Z58" i="18"/>
  <c r="X58" i="18"/>
  <c r="T58" i="18"/>
  <c r="P58" i="18"/>
  <c r="H58" i="18"/>
  <c r="D58" i="18"/>
  <c r="Z54" i="18"/>
  <c r="X54" i="18"/>
  <c r="N54" i="18"/>
  <c r="L54" i="18"/>
  <c r="B54" i="18"/>
  <c r="Z53" i="18"/>
  <c r="X53" i="18"/>
  <c r="N53" i="18"/>
  <c r="L53" i="18"/>
  <c r="B53" i="18"/>
  <c r="Z52" i="18"/>
  <c r="X52" i="18"/>
  <c r="N52" i="18"/>
  <c r="L52" i="18"/>
  <c r="J52" i="18"/>
  <c r="B52" i="18"/>
  <c r="Z51" i="18"/>
  <c r="X51" i="18"/>
  <c r="N51" i="18"/>
  <c r="L51" i="18"/>
  <c r="J51" i="18"/>
  <c r="B51" i="18"/>
  <c r="Z50" i="18"/>
  <c r="X50" i="18"/>
  <c r="N50" i="18"/>
  <c r="L50" i="18"/>
  <c r="B50" i="18"/>
  <c r="Z49" i="18"/>
  <c r="X49" i="18"/>
  <c r="N49" i="18"/>
  <c r="L49" i="18"/>
  <c r="B49" i="18"/>
  <c r="Z48" i="18"/>
  <c r="X48" i="18"/>
  <c r="N48" i="18"/>
  <c r="L48" i="18"/>
  <c r="B48" i="18"/>
  <c r="Z47" i="18"/>
  <c r="X47" i="18"/>
  <c r="V47" i="18"/>
  <c r="N47" i="18"/>
  <c r="L47" i="18"/>
  <c r="B47" i="18"/>
  <c r="Z46" i="18"/>
  <c r="X46" i="18"/>
  <c r="N46" i="18"/>
  <c r="L46" i="18"/>
  <c r="B46" i="18"/>
  <c r="Z45" i="18"/>
  <c r="X45" i="18"/>
  <c r="N45" i="18"/>
  <c r="L45" i="18"/>
  <c r="B45" i="18"/>
  <c r="Z44" i="18"/>
  <c r="X44" i="18"/>
  <c r="N44" i="18"/>
  <c r="L44" i="18"/>
  <c r="J44" i="18"/>
  <c r="B44" i="18"/>
  <c r="Z43" i="18"/>
  <c r="X43" i="18"/>
  <c r="N43" i="18"/>
  <c r="L43" i="18"/>
  <c r="J43" i="18"/>
  <c r="B43" i="18"/>
  <c r="Z42" i="18"/>
  <c r="X42" i="18"/>
  <c r="N42" i="18"/>
  <c r="L42" i="18"/>
  <c r="B42" i="18"/>
  <c r="Z41" i="18"/>
  <c r="X41" i="18"/>
  <c r="R41" i="18"/>
  <c r="N41" i="18"/>
  <c r="L41" i="18"/>
  <c r="B41" i="18"/>
  <c r="Z40" i="18"/>
  <c r="X40" i="18"/>
  <c r="N40" i="18"/>
  <c r="L40" i="18"/>
  <c r="B40" i="18"/>
  <c r="Z39" i="18"/>
  <c r="X39" i="18"/>
  <c r="V39" i="18"/>
  <c r="N39" i="18"/>
  <c r="L39" i="18"/>
  <c r="B39" i="18"/>
  <c r="Z38" i="18"/>
  <c r="X38" i="18"/>
  <c r="N38" i="18"/>
  <c r="L38" i="18"/>
  <c r="B38" i="18"/>
  <c r="Z37" i="18"/>
  <c r="X37" i="18"/>
  <c r="N37" i="18"/>
  <c r="L37" i="18"/>
  <c r="B37" i="18"/>
  <c r="Z36" i="18"/>
  <c r="X36" i="18"/>
  <c r="N36" i="18"/>
  <c r="L36" i="18"/>
  <c r="J36" i="18"/>
  <c r="B36" i="18"/>
  <c r="Z35" i="18"/>
  <c r="X35" i="18"/>
  <c r="N35" i="18"/>
  <c r="L35" i="18"/>
  <c r="J35" i="18"/>
  <c r="B35" i="18"/>
  <c r="Z34" i="18"/>
  <c r="X34" i="18"/>
  <c r="N34" i="18"/>
  <c r="L34" i="18"/>
  <c r="B34" i="18"/>
  <c r="Z33" i="18"/>
  <c r="X33" i="18"/>
  <c r="R33" i="18"/>
  <c r="N33" i="18"/>
  <c r="L33" i="18"/>
  <c r="B33" i="18"/>
  <c r="Z32" i="18"/>
  <c r="X32" i="18"/>
  <c r="N32" i="18"/>
  <c r="L32" i="18"/>
  <c r="B32" i="18"/>
  <c r="Z31" i="18"/>
  <c r="X31" i="18"/>
  <c r="V31" i="18"/>
  <c r="N31" i="18"/>
  <c r="L31" i="18"/>
  <c r="B31" i="18"/>
  <c r="Z30" i="18"/>
  <c r="X30" i="18"/>
  <c r="N30" i="18"/>
  <c r="L30" i="18"/>
  <c r="B30" i="18"/>
  <c r="Z29" i="18"/>
  <c r="X29" i="18"/>
  <c r="N29" i="18"/>
  <c r="L29" i="18"/>
  <c r="B29" i="18"/>
  <c r="Z28" i="18"/>
  <c r="X28" i="18"/>
  <c r="N28" i="18"/>
  <c r="L28" i="18"/>
  <c r="J28" i="18"/>
  <c r="B28" i="18"/>
  <c r="Z27" i="18"/>
  <c r="X27" i="18"/>
  <c r="N27" i="18"/>
  <c r="L27" i="18"/>
  <c r="J27" i="18"/>
  <c r="B27" i="18"/>
  <c r="Z26" i="18"/>
  <c r="X26" i="18"/>
  <c r="N26" i="18"/>
  <c r="L26" i="18"/>
  <c r="B26" i="18"/>
  <c r="Z25" i="18"/>
  <c r="X25" i="18"/>
  <c r="R25" i="18"/>
  <c r="N25" i="18"/>
  <c r="L25" i="18"/>
  <c r="B25" i="18"/>
  <c r="Z24" i="18"/>
  <c r="X24" i="18"/>
  <c r="N24" i="18"/>
  <c r="L24" i="18"/>
  <c r="B24" i="18"/>
  <c r="Z23" i="18"/>
  <c r="X23" i="18"/>
  <c r="V23" i="18"/>
  <c r="N23" i="18"/>
  <c r="L23" i="18"/>
  <c r="B23" i="18"/>
  <c r="X22" i="18"/>
  <c r="Z22" i="18" s="1"/>
  <c r="N22" i="18"/>
  <c r="L22" i="18"/>
  <c r="B22" i="18"/>
  <c r="T21" i="18"/>
  <c r="P21" i="18"/>
  <c r="X21" i="18" s="1"/>
  <c r="Z21" i="18" s="1"/>
  <c r="L21" i="18"/>
  <c r="J21" i="18"/>
  <c r="H21" i="18"/>
  <c r="N21" i="18" s="1"/>
  <c r="D21" i="18"/>
  <c r="Z19" i="18"/>
  <c r="X19" i="18"/>
  <c r="P19" i="18"/>
  <c r="N19" i="18"/>
  <c r="L19" i="18"/>
  <c r="D19" i="18"/>
  <c r="B19" i="18"/>
  <c r="Z18" i="18"/>
  <c r="P18" i="18"/>
  <c r="X18" i="18" s="1"/>
  <c r="N18" i="18"/>
  <c r="D18" i="18"/>
  <c r="L18" i="18" s="1"/>
  <c r="B18" i="18"/>
  <c r="Z17" i="18"/>
  <c r="X17" i="18"/>
  <c r="P17" i="18"/>
  <c r="N17" i="18"/>
  <c r="D17" i="18"/>
  <c r="L17" i="18" s="1"/>
  <c r="B17" i="18"/>
  <c r="Z16" i="18"/>
  <c r="P16" i="18"/>
  <c r="X16" i="18" s="1"/>
  <c r="N16" i="18"/>
  <c r="L16" i="18"/>
  <c r="D16" i="18"/>
  <c r="B16" i="18"/>
  <c r="Z15" i="18"/>
  <c r="X15" i="18"/>
  <c r="P15" i="18"/>
  <c r="N15" i="18"/>
  <c r="D15" i="18"/>
  <c r="L15" i="18" s="1"/>
  <c r="B15" i="18"/>
  <c r="X14" i="18"/>
  <c r="Z14" i="18" s="1"/>
  <c r="P14" i="18"/>
  <c r="L14" i="18"/>
  <c r="N14" i="18" s="1"/>
  <c r="D14" i="18"/>
  <c r="B14" i="18"/>
  <c r="X13" i="18"/>
  <c r="Z13" i="18" s="1"/>
  <c r="P13" i="18"/>
  <c r="P12" i="18" s="1"/>
  <c r="R118" i="18" s="1"/>
  <c r="D13" i="18"/>
  <c r="L13" i="18" s="1"/>
  <c r="N13" i="18" s="1"/>
  <c r="B13" i="18"/>
  <c r="T12" i="18"/>
  <c r="V96" i="18" s="1"/>
  <c r="H12" i="18"/>
  <c r="J151" i="18" s="1"/>
  <c r="D4" i="18"/>
  <c r="B39" i="17"/>
  <c r="B38" i="17"/>
  <c r="T34" i="17"/>
  <c r="P34" i="17"/>
  <c r="H34" i="17"/>
  <c r="N34" i="17" s="1"/>
  <c r="D34" i="17"/>
  <c r="T33" i="17"/>
  <c r="Z33" i="17" s="1"/>
  <c r="P33" i="17"/>
  <c r="H33" i="17"/>
  <c r="N33" i="17" s="1"/>
  <c r="D33" i="17"/>
  <c r="T29" i="17"/>
  <c r="Z29" i="17" s="1"/>
  <c r="P29" i="17"/>
  <c r="X29" i="17" s="1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D21" i="17"/>
  <c r="B21" i="17"/>
  <c r="T20" i="17"/>
  <c r="Z20" i="17" s="1"/>
  <c r="P20" i="17"/>
  <c r="H20" i="17"/>
  <c r="N20" i="17" s="1"/>
  <c r="D20" i="17"/>
  <c r="T16" i="17"/>
  <c r="Z16" i="17" s="1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P12" i="17"/>
  <c r="R16" i="17" s="1"/>
  <c r="H12" i="17"/>
  <c r="J22" i="17" s="1"/>
  <c r="D12" i="17"/>
  <c r="F18" i="17" s="1"/>
  <c r="D5" i="17"/>
  <c r="D4" i="17"/>
  <c r="B39" i="16"/>
  <c r="B38" i="16"/>
  <c r="T34" i="16"/>
  <c r="Z34" i="16" s="1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D25" i="16"/>
  <c r="B25" i="16"/>
  <c r="T24" i="16"/>
  <c r="Z24" i="16" s="1"/>
  <c r="P24" i="16"/>
  <c r="H24" i="16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X20" i="16" s="1"/>
  <c r="H20" i="16"/>
  <c r="N20" i="16" s="1"/>
  <c r="D20" i="16"/>
  <c r="T16" i="16"/>
  <c r="Z16" i="16" s="1"/>
  <c r="P16" i="16"/>
  <c r="H16" i="16"/>
  <c r="N16" i="16" s="1"/>
  <c r="D16" i="16"/>
  <c r="B16" i="16"/>
  <c r="T15" i="16"/>
  <c r="Z15" i="16" s="1"/>
  <c r="P15" i="16"/>
  <c r="H15" i="16"/>
  <c r="N15" i="16" s="1"/>
  <c r="D15" i="16"/>
  <c r="T13" i="16"/>
  <c r="Z13" i="16" s="1"/>
  <c r="P13" i="16"/>
  <c r="H13" i="16"/>
  <c r="N13" i="16" s="1"/>
  <c r="D13" i="16"/>
  <c r="B13" i="16"/>
  <c r="T12" i="16"/>
  <c r="V24" i="16" s="1"/>
  <c r="P12" i="16"/>
  <c r="R34" i="16" s="1"/>
  <c r="H12" i="16"/>
  <c r="J31" i="16" s="1"/>
  <c r="D12" i="16"/>
  <c r="D5" i="16"/>
  <c r="D4" i="16"/>
  <c r="Z153" i="15"/>
  <c r="X153" i="15"/>
  <c r="N153" i="15"/>
  <c r="L153" i="15"/>
  <c r="Z149" i="15"/>
  <c r="X149" i="15"/>
  <c r="P149" i="15"/>
  <c r="N149" i="15"/>
  <c r="D149" i="15"/>
  <c r="L149" i="15" s="1"/>
  <c r="B149" i="15"/>
  <c r="Z148" i="15"/>
  <c r="P148" i="15"/>
  <c r="X148" i="15" s="1"/>
  <c r="N148" i="15"/>
  <c r="L148" i="15"/>
  <c r="D148" i="15"/>
  <c r="B148" i="15"/>
  <c r="Z147" i="15"/>
  <c r="X147" i="15"/>
  <c r="V147" i="15"/>
  <c r="P147" i="15"/>
  <c r="N147" i="15"/>
  <c r="L147" i="15"/>
  <c r="D147" i="15"/>
  <c r="B147" i="15"/>
  <c r="V146" i="15"/>
  <c r="P146" i="15"/>
  <c r="X146" i="15" s="1"/>
  <c r="Z146" i="15" s="1"/>
  <c r="N146" i="15"/>
  <c r="L146" i="15"/>
  <c r="D146" i="15"/>
  <c r="B146" i="15"/>
  <c r="P145" i="15"/>
  <c r="X145" i="15" s="1"/>
  <c r="Z145" i="15" s="1"/>
  <c r="N145" i="15"/>
  <c r="D145" i="15"/>
  <c r="L145" i="15" s="1"/>
  <c r="B145" i="15"/>
  <c r="T144" i="15"/>
  <c r="P144" i="15"/>
  <c r="X144" i="15" s="1"/>
  <c r="Z144" i="15" s="1"/>
  <c r="H144" i="15"/>
  <c r="X142" i="15"/>
  <c r="Z142" i="15" s="1"/>
  <c r="N142" i="15"/>
  <c r="L142" i="15"/>
  <c r="J142" i="15"/>
  <c r="B142" i="15"/>
  <c r="Z141" i="15"/>
  <c r="T141" i="15"/>
  <c r="P141" i="15"/>
  <c r="X141" i="15" s="1"/>
  <c r="L141" i="15"/>
  <c r="H141" i="15"/>
  <c r="N141" i="15" s="1"/>
  <c r="D141" i="15"/>
  <c r="B141" i="15"/>
  <c r="Z140" i="15"/>
  <c r="X140" i="15"/>
  <c r="N140" i="15"/>
  <c r="L140" i="15"/>
  <c r="B140" i="15"/>
  <c r="X139" i="15"/>
  <c r="Z139" i="15" s="1"/>
  <c r="L139" i="15"/>
  <c r="N139" i="15" s="1"/>
  <c r="B139" i="15"/>
  <c r="Z138" i="15"/>
  <c r="X138" i="15"/>
  <c r="L138" i="15"/>
  <c r="N138" i="15" s="1"/>
  <c r="B138" i="15"/>
  <c r="Z137" i="15"/>
  <c r="T137" i="15"/>
  <c r="P137" i="15"/>
  <c r="X137" i="15" s="1"/>
  <c r="L137" i="15"/>
  <c r="H137" i="15"/>
  <c r="D137" i="15"/>
  <c r="B137" i="15"/>
  <c r="Z136" i="15"/>
  <c r="X136" i="15"/>
  <c r="N136" i="15"/>
  <c r="L136" i="15"/>
  <c r="F136" i="15"/>
  <c r="B136" i="15"/>
  <c r="X135" i="15"/>
  <c r="T135" i="15"/>
  <c r="Z135" i="15" s="1"/>
  <c r="P135" i="15"/>
  <c r="H135" i="15"/>
  <c r="D135" i="15"/>
  <c r="B135" i="15"/>
  <c r="X134" i="15"/>
  <c r="Z134" i="15" s="1"/>
  <c r="L134" i="15"/>
  <c r="N134" i="15" s="1"/>
  <c r="B134" i="15"/>
  <c r="Z133" i="15"/>
  <c r="X133" i="15"/>
  <c r="N133" i="15"/>
  <c r="L133" i="15"/>
  <c r="B133" i="15"/>
  <c r="V132" i="15"/>
  <c r="T132" i="15"/>
  <c r="Z132" i="15" s="1"/>
  <c r="P132" i="15"/>
  <c r="X132" i="15" s="1"/>
  <c r="H132" i="15"/>
  <c r="D132" i="15"/>
  <c r="L132" i="15" s="1"/>
  <c r="N132" i="15" s="1"/>
  <c r="B132" i="15"/>
  <c r="X131" i="15"/>
  <c r="Z131" i="15" s="1"/>
  <c r="L131" i="15"/>
  <c r="N131" i="15" s="1"/>
  <c r="J131" i="15"/>
  <c r="B131" i="15"/>
  <c r="X130" i="15"/>
  <c r="Z130" i="15" s="1"/>
  <c r="N130" i="15"/>
  <c r="L130" i="15"/>
  <c r="J130" i="15"/>
  <c r="B130" i="15"/>
  <c r="Z129" i="15"/>
  <c r="X129" i="15"/>
  <c r="N129" i="15"/>
  <c r="L129" i="15"/>
  <c r="B129" i="15"/>
  <c r="Z128" i="15"/>
  <c r="X128" i="15"/>
  <c r="N128" i="15"/>
  <c r="L128" i="15"/>
  <c r="F128" i="15"/>
  <c r="B128" i="15"/>
  <c r="X127" i="15"/>
  <c r="Z127" i="15" s="1"/>
  <c r="L127" i="15"/>
  <c r="N127" i="15" s="1"/>
  <c r="B127" i="15"/>
  <c r="X126" i="15"/>
  <c r="Z126" i="15" s="1"/>
  <c r="L126" i="15"/>
  <c r="N126" i="15" s="1"/>
  <c r="B126" i="15"/>
  <c r="X125" i="15"/>
  <c r="Z125" i="15" s="1"/>
  <c r="L125" i="15"/>
  <c r="N125" i="15" s="1"/>
  <c r="B125" i="15"/>
  <c r="X124" i="15"/>
  <c r="T124" i="15"/>
  <c r="P124" i="15"/>
  <c r="L124" i="15"/>
  <c r="H124" i="15"/>
  <c r="D124" i="15"/>
  <c r="B124" i="15"/>
  <c r="Z123" i="15"/>
  <c r="X123" i="15"/>
  <c r="V123" i="15"/>
  <c r="N123" i="15"/>
  <c r="L123" i="15"/>
  <c r="B123" i="15"/>
  <c r="X122" i="15"/>
  <c r="Z122" i="15" s="1"/>
  <c r="L122" i="15"/>
  <c r="N122" i="15" s="1"/>
  <c r="B122" i="15"/>
  <c r="V121" i="15"/>
  <c r="T121" i="15"/>
  <c r="P121" i="15"/>
  <c r="X121" i="15" s="1"/>
  <c r="Z121" i="15" s="1"/>
  <c r="J121" i="15"/>
  <c r="H121" i="15"/>
  <c r="D121" i="15"/>
  <c r="L121" i="15" s="1"/>
  <c r="N121" i="15" s="1"/>
  <c r="B121" i="15"/>
  <c r="Z120" i="15"/>
  <c r="X120" i="15"/>
  <c r="N120" i="15"/>
  <c r="L120" i="15"/>
  <c r="B120" i="15"/>
  <c r="Z119" i="15"/>
  <c r="X119" i="15"/>
  <c r="V119" i="15"/>
  <c r="N119" i="15"/>
  <c r="L119" i="15"/>
  <c r="B119" i="15"/>
  <c r="X118" i="15"/>
  <c r="Z118" i="15" s="1"/>
  <c r="L118" i="15"/>
  <c r="N118" i="15" s="1"/>
  <c r="B118" i="15"/>
  <c r="V117" i="15"/>
  <c r="T117" i="15"/>
  <c r="P117" i="15"/>
  <c r="X117" i="15" s="1"/>
  <c r="Z117" i="15" s="1"/>
  <c r="J117" i="15"/>
  <c r="H117" i="15"/>
  <c r="F117" i="15"/>
  <c r="D117" i="15"/>
  <c r="L117" i="15" s="1"/>
  <c r="N117" i="15" s="1"/>
  <c r="B117" i="15"/>
  <c r="Z116" i="15"/>
  <c r="X116" i="15"/>
  <c r="R116" i="15"/>
  <c r="L116" i="15"/>
  <c r="N116" i="15" s="1"/>
  <c r="B116" i="15"/>
  <c r="Z115" i="15"/>
  <c r="X115" i="15"/>
  <c r="V115" i="15"/>
  <c r="N115" i="15"/>
  <c r="L115" i="15"/>
  <c r="B115" i="15"/>
  <c r="X114" i="15"/>
  <c r="Z114" i="15" s="1"/>
  <c r="L114" i="15"/>
  <c r="N114" i="15" s="1"/>
  <c r="B114" i="15"/>
  <c r="Z113" i="15"/>
  <c r="X113" i="15"/>
  <c r="V113" i="15"/>
  <c r="L113" i="15"/>
  <c r="N113" i="15" s="1"/>
  <c r="B113" i="15"/>
  <c r="X112" i="15"/>
  <c r="T112" i="15"/>
  <c r="Z112" i="15" s="1"/>
  <c r="P112" i="15"/>
  <c r="H112" i="15"/>
  <c r="D112" i="15"/>
  <c r="B112" i="15"/>
  <c r="Z111" i="15"/>
  <c r="X111" i="15"/>
  <c r="V111" i="15"/>
  <c r="N111" i="15"/>
  <c r="L111" i="15"/>
  <c r="B111" i="15"/>
  <c r="X110" i="15"/>
  <c r="Z110" i="15" s="1"/>
  <c r="R110" i="15"/>
  <c r="L110" i="15"/>
  <c r="N110" i="15" s="1"/>
  <c r="B110" i="15"/>
  <c r="Z109" i="15"/>
  <c r="X109" i="15"/>
  <c r="V109" i="15"/>
  <c r="L109" i="15"/>
  <c r="N109" i="15" s="1"/>
  <c r="B109" i="15"/>
  <c r="X108" i="15"/>
  <c r="Z108" i="15" s="1"/>
  <c r="N108" i="15"/>
  <c r="L108" i="15"/>
  <c r="F108" i="15"/>
  <c r="B108" i="15"/>
  <c r="T107" i="15"/>
  <c r="P107" i="15"/>
  <c r="X107" i="15" s="1"/>
  <c r="Z107" i="15" s="1"/>
  <c r="J107" i="15"/>
  <c r="H107" i="15"/>
  <c r="D107" i="15"/>
  <c r="L107" i="15" s="1"/>
  <c r="N107" i="15" s="1"/>
  <c r="B107" i="15"/>
  <c r="X106" i="15"/>
  <c r="Z106" i="15" s="1"/>
  <c r="L106" i="15"/>
  <c r="N106" i="15" s="1"/>
  <c r="B106" i="15"/>
  <c r="Z105" i="15"/>
  <c r="V105" i="15"/>
  <c r="T105" i="15"/>
  <c r="P105" i="15"/>
  <c r="X105" i="15" s="1"/>
  <c r="N105" i="15"/>
  <c r="L105" i="15"/>
  <c r="J105" i="15"/>
  <c r="H105" i="15"/>
  <c r="D105" i="15"/>
  <c r="B105" i="15"/>
  <c r="Z104" i="15"/>
  <c r="X104" i="15"/>
  <c r="L104" i="15"/>
  <c r="N104" i="15" s="1"/>
  <c r="B104" i="15"/>
  <c r="Z103" i="15"/>
  <c r="X103" i="15"/>
  <c r="V103" i="15"/>
  <c r="T103" i="15"/>
  <c r="P103" i="15"/>
  <c r="L103" i="15"/>
  <c r="N103" i="15" s="1"/>
  <c r="H103" i="15"/>
  <c r="D103" i="15"/>
  <c r="B103" i="15"/>
  <c r="X102" i="15"/>
  <c r="Z102" i="15" s="1"/>
  <c r="L102" i="15"/>
  <c r="N102" i="15" s="1"/>
  <c r="B102" i="15"/>
  <c r="X101" i="15"/>
  <c r="T101" i="15"/>
  <c r="Z101" i="15" s="1"/>
  <c r="P101" i="15"/>
  <c r="H101" i="15"/>
  <c r="D101" i="15"/>
  <c r="L101" i="15" s="1"/>
  <c r="N101" i="15" s="1"/>
  <c r="B101" i="15"/>
  <c r="X100" i="15"/>
  <c r="Z100" i="15" s="1"/>
  <c r="N100" i="15"/>
  <c r="L100" i="15"/>
  <c r="F100" i="15"/>
  <c r="B100" i="15"/>
  <c r="T99" i="15"/>
  <c r="P99" i="15"/>
  <c r="X99" i="15" s="1"/>
  <c r="Z99" i="15" s="1"/>
  <c r="J99" i="15"/>
  <c r="H99" i="15"/>
  <c r="D99" i="15"/>
  <c r="L99" i="15" s="1"/>
  <c r="N99" i="15" s="1"/>
  <c r="B99" i="15"/>
  <c r="X98" i="15"/>
  <c r="Z98" i="15" s="1"/>
  <c r="L98" i="15"/>
  <c r="N98" i="15" s="1"/>
  <c r="B98" i="15"/>
  <c r="Z97" i="15"/>
  <c r="X97" i="15"/>
  <c r="V97" i="15"/>
  <c r="N97" i="15"/>
  <c r="L97" i="15"/>
  <c r="B97" i="15"/>
  <c r="X96" i="15"/>
  <c r="T96" i="15"/>
  <c r="Z96" i="15" s="1"/>
  <c r="P96" i="15"/>
  <c r="H96" i="15"/>
  <c r="D96" i="15"/>
  <c r="B96" i="15"/>
  <c r="Z95" i="15"/>
  <c r="X95" i="15"/>
  <c r="V95" i="15"/>
  <c r="N95" i="15"/>
  <c r="L95" i="15"/>
  <c r="B95" i="15"/>
  <c r="X94" i="15"/>
  <c r="Z94" i="15" s="1"/>
  <c r="L94" i="15"/>
  <c r="N94" i="15" s="1"/>
  <c r="B94" i="15"/>
  <c r="V93" i="15"/>
  <c r="T93" i="15"/>
  <c r="P93" i="15"/>
  <c r="X93" i="15" s="1"/>
  <c r="Z93" i="15" s="1"/>
  <c r="N93" i="15"/>
  <c r="L93" i="15"/>
  <c r="J93" i="15"/>
  <c r="H93" i="15"/>
  <c r="F93" i="15"/>
  <c r="D93" i="15"/>
  <c r="B93" i="15"/>
  <c r="Z92" i="15"/>
  <c r="X92" i="15"/>
  <c r="L92" i="15"/>
  <c r="N92" i="15" s="1"/>
  <c r="B92" i="15"/>
  <c r="Z91" i="15"/>
  <c r="X91" i="15"/>
  <c r="V91" i="15"/>
  <c r="T91" i="15"/>
  <c r="P91" i="15"/>
  <c r="L91" i="15"/>
  <c r="H91" i="15"/>
  <c r="N91" i="15" s="1"/>
  <c r="F91" i="15"/>
  <c r="D91" i="15"/>
  <c r="B91" i="15"/>
  <c r="X90" i="15"/>
  <c r="Z90" i="15" s="1"/>
  <c r="L90" i="15"/>
  <c r="N90" i="15" s="1"/>
  <c r="B90" i="15"/>
  <c r="X89" i="15"/>
  <c r="T89" i="15"/>
  <c r="Z89" i="15" s="1"/>
  <c r="P89" i="15"/>
  <c r="N89" i="15"/>
  <c r="H89" i="15"/>
  <c r="D89" i="15"/>
  <c r="L89" i="15" s="1"/>
  <c r="B89" i="15"/>
  <c r="X88" i="15"/>
  <c r="Z88" i="15" s="1"/>
  <c r="N88" i="15"/>
  <c r="L88" i="15"/>
  <c r="B88" i="15"/>
  <c r="T87" i="15"/>
  <c r="P87" i="15"/>
  <c r="X87" i="15" s="1"/>
  <c r="Z87" i="15" s="1"/>
  <c r="N87" i="15"/>
  <c r="J87" i="15"/>
  <c r="H87" i="15"/>
  <c r="D87" i="15"/>
  <c r="L87" i="15" s="1"/>
  <c r="B87" i="15"/>
  <c r="Z86" i="15"/>
  <c r="X86" i="15"/>
  <c r="N86" i="15"/>
  <c r="L86" i="15"/>
  <c r="B86" i="15"/>
  <c r="Z85" i="15"/>
  <c r="X85" i="15"/>
  <c r="V85" i="15"/>
  <c r="N85" i="15"/>
  <c r="L85" i="15"/>
  <c r="B85" i="15"/>
  <c r="X84" i="15"/>
  <c r="T84" i="15"/>
  <c r="Z84" i="15" s="1"/>
  <c r="P84" i="15"/>
  <c r="L84" i="15"/>
  <c r="H84" i="15"/>
  <c r="N84" i="15" s="1"/>
  <c r="D84" i="15"/>
  <c r="B84" i="15"/>
  <c r="X83" i="15"/>
  <c r="Z83" i="15" s="1"/>
  <c r="V83" i="15"/>
  <c r="N83" i="15"/>
  <c r="L83" i="15"/>
  <c r="B83" i="15"/>
  <c r="Z82" i="15"/>
  <c r="X82" i="15"/>
  <c r="N82" i="15"/>
  <c r="L82" i="15"/>
  <c r="B82" i="15"/>
  <c r="V81" i="15"/>
  <c r="T81" i="15"/>
  <c r="P81" i="15"/>
  <c r="X81" i="15" s="1"/>
  <c r="Z81" i="15" s="1"/>
  <c r="L81" i="15"/>
  <c r="N81" i="15" s="1"/>
  <c r="J81" i="15"/>
  <c r="H81" i="15"/>
  <c r="D81" i="15"/>
  <c r="B81" i="15"/>
  <c r="Z80" i="15"/>
  <c r="X80" i="15"/>
  <c r="L80" i="15"/>
  <c r="N80" i="15" s="1"/>
  <c r="B80" i="15"/>
  <c r="Z79" i="15"/>
  <c r="X79" i="15"/>
  <c r="V79" i="15"/>
  <c r="T79" i="15"/>
  <c r="P79" i="15"/>
  <c r="L79" i="15"/>
  <c r="H79" i="15"/>
  <c r="N79" i="15" s="1"/>
  <c r="D79" i="15"/>
  <c r="B79" i="15"/>
  <c r="Z78" i="15"/>
  <c r="X78" i="15"/>
  <c r="L78" i="15"/>
  <c r="N78" i="15" s="1"/>
  <c r="B78" i="15"/>
  <c r="X77" i="15"/>
  <c r="T77" i="15"/>
  <c r="Z77" i="15" s="1"/>
  <c r="R77" i="15"/>
  <c r="P77" i="15"/>
  <c r="H77" i="15"/>
  <c r="D77" i="15"/>
  <c r="L77" i="15" s="1"/>
  <c r="N77" i="15" s="1"/>
  <c r="B77" i="15"/>
  <c r="X76" i="15"/>
  <c r="Z76" i="15" s="1"/>
  <c r="N76" i="15"/>
  <c r="L76" i="15"/>
  <c r="B76" i="15"/>
  <c r="T75" i="15"/>
  <c r="P75" i="15"/>
  <c r="X75" i="15" s="1"/>
  <c r="Z75" i="15" s="1"/>
  <c r="N75" i="15"/>
  <c r="J75" i="15"/>
  <c r="H75" i="15"/>
  <c r="D75" i="15"/>
  <c r="L75" i="15" s="1"/>
  <c r="B75" i="15"/>
  <c r="Z74" i="15"/>
  <c r="X74" i="15"/>
  <c r="R74" i="15"/>
  <c r="N74" i="15"/>
  <c r="L74" i="15"/>
  <c r="B74" i="15"/>
  <c r="Z73" i="15"/>
  <c r="X73" i="15"/>
  <c r="V73" i="15"/>
  <c r="N73" i="15"/>
  <c r="L73" i="15"/>
  <c r="B73" i="15"/>
  <c r="X72" i="15"/>
  <c r="Z72" i="15" s="1"/>
  <c r="N72" i="15"/>
  <c r="L72" i="15"/>
  <c r="B72" i="15"/>
  <c r="Z71" i="15"/>
  <c r="X71" i="15"/>
  <c r="L71" i="15"/>
  <c r="N71" i="15" s="1"/>
  <c r="J71" i="15"/>
  <c r="B71" i="15"/>
  <c r="Z70" i="15"/>
  <c r="X70" i="15"/>
  <c r="N70" i="15"/>
  <c r="L70" i="15"/>
  <c r="F70" i="15"/>
  <c r="B70" i="15"/>
  <c r="X69" i="15"/>
  <c r="Z69" i="15" s="1"/>
  <c r="N69" i="15"/>
  <c r="L69" i="15"/>
  <c r="J69" i="15"/>
  <c r="B69" i="15"/>
  <c r="Z68" i="15"/>
  <c r="X68" i="15"/>
  <c r="L68" i="15"/>
  <c r="N68" i="15" s="1"/>
  <c r="B68" i="15"/>
  <c r="Z67" i="15"/>
  <c r="X67" i="15"/>
  <c r="V67" i="15"/>
  <c r="N67" i="15"/>
  <c r="L67" i="15"/>
  <c r="B67" i="15"/>
  <c r="X66" i="15"/>
  <c r="Z66" i="15" s="1"/>
  <c r="R66" i="15"/>
  <c r="N66" i="15"/>
  <c r="L66" i="15"/>
  <c r="B66" i="15"/>
  <c r="Z65" i="15"/>
  <c r="X65" i="15"/>
  <c r="V65" i="15"/>
  <c r="L65" i="15"/>
  <c r="N65" i="15" s="1"/>
  <c r="B65" i="15"/>
  <c r="X64" i="15"/>
  <c r="T64" i="15"/>
  <c r="P64" i="15"/>
  <c r="H64" i="15"/>
  <c r="L64" i="15" s="1"/>
  <c r="D64" i="15"/>
  <c r="B64" i="15"/>
  <c r="X63" i="15"/>
  <c r="Z63" i="15" s="1"/>
  <c r="V63" i="15"/>
  <c r="N63" i="15"/>
  <c r="L63" i="15"/>
  <c r="B63" i="15"/>
  <c r="X62" i="15"/>
  <c r="Z62" i="15" s="1"/>
  <c r="N62" i="15"/>
  <c r="L62" i="15"/>
  <c r="B62" i="15"/>
  <c r="Z61" i="15"/>
  <c r="X61" i="15"/>
  <c r="V61" i="15"/>
  <c r="L61" i="15"/>
  <c r="N61" i="15" s="1"/>
  <c r="B61" i="15"/>
  <c r="Z60" i="15"/>
  <c r="X60" i="15"/>
  <c r="N60" i="15"/>
  <c r="L60" i="15"/>
  <c r="B60" i="15"/>
  <c r="Z59" i="15"/>
  <c r="X59" i="15"/>
  <c r="N59" i="15"/>
  <c r="L59" i="15"/>
  <c r="J59" i="15"/>
  <c r="B59" i="15"/>
  <c r="Z58" i="15"/>
  <c r="X58" i="15"/>
  <c r="L58" i="15"/>
  <c r="N58" i="15" s="1"/>
  <c r="B58" i="15"/>
  <c r="X57" i="15"/>
  <c r="Z57" i="15" s="1"/>
  <c r="N57" i="15"/>
  <c r="L57" i="15"/>
  <c r="J57" i="15"/>
  <c r="B57" i="15"/>
  <c r="Z56" i="15"/>
  <c r="X56" i="15"/>
  <c r="L56" i="15"/>
  <c r="N56" i="15" s="1"/>
  <c r="B56" i="15"/>
  <c r="Z55" i="15"/>
  <c r="X55" i="15"/>
  <c r="V55" i="15"/>
  <c r="N55" i="15"/>
  <c r="L55" i="15"/>
  <c r="B55" i="15"/>
  <c r="X54" i="15"/>
  <c r="Z54" i="15" s="1"/>
  <c r="N54" i="15"/>
  <c r="L54" i="15"/>
  <c r="B54" i="15"/>
  <c r="V53" i="15"/>
  <c r="T53" i="15"/>
  <c r="P53" i="15"/>
  <c r="X53" i="15" s="1"/>
  <c r="Z53" i="15" s="1"/>
  <c r="N53" i="15"/>
  <c r="L53" i="15"/>
  <c r="J53" i="15"/>
  <c r="H53" i="15"/>
  <c r="F53" i="15"/>
  <c r="D53" i="15"/>
  <c r="B53" i="15"/>
  <c r="T52" i="15"/>
  <c r="P52" i="15"/>
  <c r="H52" i="15"/>
  <c r="D52" i="15"/>
  <c r="L52" i="15" s="1"/>
  <c r="H50" i="15"/>
  <c r="Z48" i="15"/>
  <c r="X48" i="15"/>
  <c r="N48" i="15"/>
  <c r="L48" i="15"/>
  <c r="B48" i="15"/>
  <c r="Z47" i="15"/>
  <c r="X47" i="15"/>
  <c r="V47" i="15"/>
  <c r="N47" i="15"/>
  <c r="L47" i="15"/>
  <c r="B47" i="15"/>
  <c r="Z46" i="15"/>
  <c r="X46" i="15"/>
  <c r="R46" i="15"/>
  <c r="N46" i="15"/>
  <c r="L46" i="15"/>
  <c r="B46" i="15"/>
  <c r="Z45" i="15"/>
  <c r="X45" i="15"/>
  <c r="V45" i="15"/>
  <c r="N45" i="15"/>
  <c r="L45" i="15"/>
  <c r="B45" i="15"/>
  <c r="Z44" i="15"/>
  <c r="X44" i="15"/>
  <c r="N44" i="15"/>
  <c r="L44" i="15"/>
  <c r="F44" i="15"/>
  <c r="B44" i="15"/>
  <c r="Z43" i="15"/>
  <c r="X43" i="15"/>
  <c r="N43" i="15"/>
  <c r="L43" i="15"/>
  <c r="J43" i="15"/>
  <c r="B43" i="15"/>
  <c r="Z42" i="15"/>
  <c r="X42" i="15"/>
  <c r="N42" i="15"/>
  <c r="L42" i="15"/>
  <c r="B42" i="15"/>
  <c r="Z41" i="15"/>
  <c r="X41" i="15"/>
  <c r="N41" i="15"/>
  <c r="L41" i="15"/>
  <c r="J41" i="15"/>
  <c r="B41" i="15"/>
  <c r="Z40" i="15"/>
  <c r="X40" i="15"/>
  <c r="N40" i="15"/>
  <c r="L40" i="15"/>
  <c r="B40" i="15"/>
  <c r="Z39" i="15"/>
  <c r="X39" i="15"/>
  <c r="V39" i="15"/>
  <c r="N39" i="15"/>
  <c r="L39" i="15"/>
  <c r="B39" i="15"/>
  <c r="Z38" i="15"/>
  <c r="X38" i="15"/>
  <c r="R38" i="15"/>
  <c r="N38" i="15"/>
  <c r="L38" i="15"/>
  <c r="B38" i="15"/>
  <c r="Z37" i="15"/>
  <c r="X37" i="15"/>
  <c r="V37" i="15"/>
  <c r="N37" i="15"/>
  <c r="L37" i="15"/>
  <c r="J37" i="15"/>
  <c r="B37" i="15"/>
  <c r="Z36" i="15"/>
  <c r="X36" i="15"/>
  <c r="N36" i="15"/>
  <c r="L36" i="15"/>
  <c r="B36" i="15"/>
  <c r="Z35" i="15"/>
  <c r="X35" i="15"/>
  <c r="N35" i="15"/>
  <c r="L35" i="15"/>
  <c r="J35" i="15"/>
  <c r="B35" i="15"/>
  <c r="Z34" i="15"/>
  <c r="X34" i="15"/>
  <c r="N34" i="15"/>
  <c r="L34" i="15"/>
  <c r="F34" i="15"/>
  <c r="B34" i="15"/>
  <c r="Z33" i="15"/>
  <c r="X33" i="15"/>
  <c r="V33" i="15"/>
  <c r="N33" i="15"/>
  <c r="L33" i="15"/>
  <c r="J33" i="15"/>
  <c r="B33" i="15"/>
  <c r="Z32" i="15"/>
  <c r="X32" i="15"/>
  <c r="R32" i="15"/>
  <c r="N32" i="15"/>
  <c r="L32" i="15"/>
  <c r="B32" i="15"/>
  <c r="Z31" i="15"/>
  <c r="X31" i="15"/>
  <c r="V31" i="15"/>
  <c r="N31" i="15"/>
  <c r="L31" i="15"/>
  <c r="B31" i="15"/>
  <c r="Z30" i="15"/>
  <c r="X30" i="15"/>
  <c r="N30" i="15"/>
  <c r="L30" i="15"/>
  <c r="J30" i="15"/>
  <c r="B30" i="15"/>
  <c r="Z29" i="15"/>
  <c r="X29" i="15"/>
  <c r="V29" i="15"/>
  <c r="N29" i="15"/>
  <c r="L29" i="15"/>
  <c r="J29" i="15"/>
  <c r="B29" i="15"/>
  <c r="Z28" i="15"/>
  <c r="X28" i="15"/>
  <c r="N28" i="15"/>
  <c r="L28" i="15"/>
  <c r="B28" i="15"/>
  <c r="Z27" i="15"/>
  <c r="X27" i="15"/>
  <c r="N27" i="15"/>
  <c r="L27" i="15"/>
  <c r="J27" i="15"/>
  <c r="B27" i="15"/>
  <c r="Z26" i="15"/>
  <c r="X26" i="15"/>
  <c r="V26" i="15"/>
  <c r="N26" i="15"/>
  <c r="L26" i="15"/>
  <c r="B26" i="15"/>
  <c r="Z25" i="15"/>
  <c r="X25" i="15"/>
  <c r="V25" i="15"/>
  <c r="N25" i="15"/>
  <c r="L25" i="15"/>
  <c r="J25" i="15"/>
  <c r="B25" i="15"/>
  <c r="Z24" i="15"/>
  <c r="X24" i="15"/>
  <c r="N24" i="15"/>
  <c r="L24" i="15"/>
  <c r="B24" i="15"/>
  <c r="Z23" i="15"/>
  <c r="X23" i="15"/>
  <c r="V23" i="15"/>
  <c r="N23" i="15"/>
  <c r="L23" i="15"/>
  <c r="B23" i="15"/>
  <c r="X22" i="15"/>
  <c r="Z22" i="15" s="1"/>
  <c r="N22" i="15"/>
  <c r="L22" i="15"/>
  <c r="J22" i="15"/>
  <c r="B22" i="15"/>
  <c r="V21" i="15"/>
  <c r="T21" i="15"/>
  <c r="P21" i="15"/>
  <c r="X21" i="15" s="1"/>
  <c r="Z21" i="15" s="1"/>
  <c r="N21" i="15"/>
  <c r="L21" i="15"/>
  <c r="J21" i="15"/>
  <c r="H21" i="15"/>
  <c r="D21" i="15"/>
  <c r="Z19" i="15"/>
  <c r="P19" i="15"/>
  <c r="X19" i="15" s="1"/>
  <c r="N19" i="15"/>
  <c r="L19" i="15"/>
  <c r="D19" i="15"/>
  <c r="B19" i="15"/>
  <c r="Z18" i="15"/>
  <c r="P18" i="15"/>
  <c r="X18" i="15" s="1"/>
  <c r="N18" i="15"/>
  <c r="D18" i="15"/>
  <c r="L18" i="15" s="1"/>
  <c r="B18" i="15"/>
  <c r="Z17" i="15"/>
  <c r="X17" i="15"/>
  <c r="P17" i="15"/>
  <c r="N17" i="15"/>
  <c r="L17" i="15"/>
  <c r="D17" i="15"/>
  <c r="B17" i="15"/>
  <c r="Z16" i="15"/>
  <c r="X16" i="15"/>
  <c r="P16" i="15"/>
  <c r="N16" i="15"/>
  <c r="D16" i="15"/>
  <c r="L16" i="15" s="1"/>
  <c r="B16" i="15"/>
  <c r="Z15" i="15"/>
  <c r="P15" i="15"/>
  <c r="X15" i="15" s="1"/>
  <c r="N15" i="15"/>
  <c r="D15" i="15"/>
  <c r="L15" i="15" s="1"/>
  <c r="B15" i="15"/>
  <c r="X14" i="15"/>
  <c r="Z14" i="15" s="1"/>
  <c r="P14" i="15"/>
  <c r="N14" i="15"/>
  <c r="L14" i="15"/>
  <c r="D14" i="15"/>
  <c r="B14" i="15"/>
  <c r="P13" i="15"/>
  <c r="X13" i="15" s="1"/>
  <c r="Z13" i="15" s="1"/>
  <c r="L13" i="15"/>
  <c r="N13" i="15" s="1"/>
  <c r="D13" i="15"/>
  <c r="D12" i="15" s="1"/>
  <c r="F140" i="15" s="1"/>
  <c r="B13" i="15"/>
  <c r="T12" i="15"/>
  <c r="P12" i="15"/>
  <c r="R103" i="15" s="1"/>
  <c r="H12" i="15"/>
  <c r="J149" i="15" s="1"/>
  <c r="D4" i="15"/>
  <c r="B39" i="14"/>
  <c r="B38" i="14"/>
  <c r="T34" i="14"/>
  <c r="Z34" i="14" s="1"/>
  <c r="P34" i="14"/>
  <c r="H34" i="14"/>
  <c r="N34" i="14" s="1"/>
  <c r="D34" i="14"/>
  <c r="T33" i="14"/>
  <c r="Z33" i="14" s="1"/>
  <c r="P33" i="14"/>
  <c r="H33" i="14"/>
  <c r="N33" i="14" s="1"/>
  <c r="D33" i="14"/>
  <c r="T29" i="14"/>
  <c r="Z29" i="14" s="1"/>
  <c r="P29" i="14"/>
  <c r="H29" i="14"/>
  <c r="N29" i="14" s="1"/>
  <c r="D29" i="14"/>
  <c r="T25" i="14"/>
  <c r="Z25" i="14" s="1"/>
  <c r="P25" i="14"/>
  <c r="H25" i="14"/>
  <c r="N25" i="14" s="1"/>
  <c r="D25" i="14"/>
  <c r="L25" i="14" s="1"/>
  <c r="B25" i="14"/>
  <c r="T24" i="14"/>
  <c r="Z24" i="14" s="1"/>
  <c r="P24" i="14"/>
  <c r="H24" i="14"/>
  <c r="N24" i="14" s="1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N21" i="14" s="1"/>
  <c r="D21" i="14"/>
  <c r="B21" i="14"/>
  <c r="T20" i="14"/>
  <c r="Z20" i="14" s="1"/>
  <c r="P20" i="14"/>
  <c r="H20" i="14"/>
  <c r="N20" i="14" s="1"/>
  <c r="D20" i="14"/>
  <c r="T16" i="14"/>
  <c r="Z16" i="14" s="1"/>
  <c r="P16" i="14"/>
  <c r="H16" i="14"/>
  <c r="N16" i="14" s="1"/>
  <c r="D16" i="14"/>
  <c r="B16" i="14"/>
  <c r="T15" i="14"/>
  <c r="Z15" i="14" s="1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V16" i="14" s="1"/>
  <c r="P12" i="14"/>
  <c r="H12" i="14"/>
  <c r="J22" i="14" s="1"/>
  <c r="D12" i="14"/>
  <c r="F18" i="14" s="1"/>
  <c r="D5" i="14"/>
  <c r="D4" i="14"/>
  <c r="B39" i="13"/>
  <c r="B38" i="13"/>
  <c r="T34" i="13"/>
  <c r="Z34" i="13" s="1"/>
  <c r="P34" i="13"/>
  <c r="H34" i="13"/>
  <c r="N34" i="13" s="1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V18" i="13" s="1"/>
  <c r="P12" i="13"/>
  <c r="R34" i="13" s="1"/>
  <c r="H12" i="13"/>
  <c r="J36" i="13" s="1"/>
  <c r="D12" i="13"/>
  <c r="F21" i="13" s="1"/>
  <c r="D5" i="13"/>
  <c r="D4" i="13"/>
  <c r="Z160" i="12"/>
  <c r="X160" i="12"/>
  <c r="V160" i="12"/>
  <c r="L160" i="12"/>
  <c r="N160" i="12" s="1"/>
  <c r="Z156" i="12"/>
  <c r="P156" i="12"/>
  <c r="X156" i="12" s="1"/>
  <c r="N156" i="12"/>
  <c r="L156" i="12"/>
  <c r="D156" i="12"/>
  <c r="B156" i="12"/>
  <c r="Z155" i="12"/>
  <c r="X155" i="12"/>
  <c r="P155" i="12"/>
  <c r="N155" i="12"/>
  <c r="D155" i="12"/>
  <c r="B155" i="12"/>
  <c r="Z154" i="12"/>
  <c r="P154" i="12"/>
  <c r="X154" i="12" s="1"/>
  <c r="N154" i="12"/>
  <c r="L154" i="12"/>
  <c r="D154" i="12"/>
  <c r="B154" i="12"/>
  <c r="X153" i="12"/>
  <c r="Z153" i="12" s="1"/>
  <c r="P153" i="12"/>
  <c r="N153" i="12"/>
  <c r="D153" i="12"/>
  <c r="L153" i="12" s="1"/>
  <c r="B153" i="12"/>
  <c r="Z152" i="12"/>
  <c r="V152" i="12"/>
  <c r="P152" i="12"/>
  <c r="X152" i="12" s="1"/>
  <c r="L152" i="12"/>
  <c r="N152" i="12" s="1"/>
  <c r="D152" i="12"/>
  <c r="B152" i="12"/>
  <c r="T151" i="12"/>
  <c r="P151" i="12"/>
  <c r="X151" i="12" s="1"/>
  <c r="H151" i="12"/>
  <c r="X149" i="12"/>
  <c r="Z149" i="12" s="1"/>
  <c r="L149" i="12"/>
  <c r="N149" i="12" s="1"/>
  <c r="B149" i="12"/>
  <c r="V148" i="12"/>
  <c r="T148" i="12"/>
  <c r="P148" i="12"/>
  <c r="X148" i="12" s="1"/>
  <c r="Z148" i="12" s="1"/>
  <c r="N148" i="12"/>
  <c r="L148" i="12"/>
  <c r="J148" i="12"/>
  <c r="H148" i="12"/>
  <c r="D148" i="12"/>
  <c r="B148" i="12"/>
  <c r="X147" i="12"/>
  <c r="Z147" i="12" s="1"/>
  <c r="L147" i="12"/>
  <c r="N147" i="12" s="1"/>
  <c r="B147" i="12"/>
  <c r="Z146" i="12"/>
  <c r="X146" i="12"/>
  <c r="V146" i="12"/>
  <c r="N146" i="12"/>
  <c r="L146" i="12"/>
  <c r="B146" i="12"/>
  <c r="X145" i="12"/>
  <c r="Z145" i="12" s="1"/>
  <c r="L145" i="12"/>
  <c r="N145" i="12" s="1"/>
  <c r="B145" i="12"/>
  <c r="Z144" i="12"/>
  <c r="V144" i="12"/>
  <c r="T144" i="12"/>
  <c r="P144" i="12"/>
  <c r="X144" i="12" s="1"/>
  <c r="N144" i="12"/>
  <c r="L144" i="12"/>
  <c r="H144" i="12"/>
  <c r="D144" i="12"/>
  <c r="B144" i="12"/>
  <c r="X143" i="12"/>
  <c r="Z143" i="12" s="1"/>
  <c r="N143" i="12"/>
  <c r="L143" i="12"/>
  <c r="B143" i="12"/>
  <c r="Z142" i="12"/>
  <c r="X142" i="12"/>
  <c r="V142" i="12"/>
  <c r="T142" i="12"/>
  <c r="P142" i="12"/>
  <c r="L142" i="12"/>
  <c r="H142" i="12"/>
  <c r="N142" i="12" s="1"/>
  <c r="D142" i="12"/>
  <c r="B142" i="12"/>
  <c r="Z141" i="12"/>
  <c r="X141" i="12"/>
  <c r="L141" i="12"/>
  <c r="N141" i="12" s="1"/>
  <c r="B141" i="12"/>
  <c r="X140" i="12"/>
  <c r="Z140" i="12" s="1"/>
  <c r="N140" i="12"/>
  <c r="L140" i="12"/>
  <c r="B140" i="12"/>
  <c r="T139" i="12"/>
  <c r="P139" i="12"/>
  <c r="H139" i="12"/>
  <c r="D139" i="12"/>
  <c r="L139" i="12" s="1"/>
  <c r="B139" i="12"/>
  <c r="Z138" i="12"/>
  <c r="X138" i="12"/>
  <c r="N138" i="12"/>
  <c r="L138" i="12"/>
  <c r="B138" i="12"/>
  <c r="Z137" i="12"/>
  <c r="X137" i="12"/>
  <c r="L137" i="12"/>
  <c r="N137" i="12" s="1"/>
  <c r="B137" i="12"/>
  <c r="X136" i="12"/>
  <c r="Z136" i="12" s="1"/>
  <c r="N136" i="12"/>
  <c r="L136" i="12"/>
  <c r="J136" i="12"/>
  <c r="B136" i="12"/>
  <c r="X135" i="12"/>
  <c r="Z135" i="12" s="1"/>
  <c r="L135" i="12"/>
  <c r="N135" i="12" s="1"/>
  <c r="B135" i="12"/>
  <c r="Z134" i="12"/>
  <c r="X134" i="12"/>
  <c r="V134" i="12"/>
  <c r="N134" i="12"/>
  <c r="L134" i="12"/>
  <c r="B134" i="12"/>
  <c r="X133" i="12"/>
  <c r="Z133" i="12" s="1"/>
  <c r="N133" i="12"/>
  <c r="L133" i="12"/>
  <c r="B133" i="12"/>
  <c r="Z132" i="12"/>
  <c r="X132" i="12"/>
  <c r="V132" i="12"/>
  <c r="L132" i="12"/>
  <c r="N132" i="12" s="1"/>
  <c r="B132" i="12"/>
  <c r="X131" i="12"/>
  <c r="T131" i="12"/>
  <c r="P131" i="12"/>
  <c r="L131" i="12"/>
  <c r="H131" i="12"/>
  <c r="D131" i="12"/>
  <c r="B131" i="12"/>
  <c r="Z130" i="12"/>
  <c r="X130" i="12"/>
  <c r="V130" i="12"/>
  <c r="N130" i="12"/>
  <c r="L130" i="12"/>
  <c r="B130" i="12"/>
  <c r="X129" i="12"/>
  <c r="Z129" i="12" s="1"/>
  <c r="N129" i="12"/>
  <c r="L129" i="12"/>
  <c r="B129" i="12"/>
  <c r="Z128" i="12"/>
  <c r="V128" i="12"/>
  <c r="T128" i="12"/>
  <c r="P128" i="12"/>
  <c r="X128" i="12" s="1"/>
  <c r="N128" i="12"/>
  <c r="L128" i="12"/>
  <c r="H128" i="12"/>
  <c r="D128" i="12"/>
  <c r="B128" i="12"/>
  <c r="X127" i="12"/>
  <c r="Z127" i="12" s="1"/>
  <c r="L127" i="12"/>
  <c r="N127" i="12" s="1"/>
  <c r="B127" i="12"/>
  <c r="Z126" i="12"/>
  <c r="X126" i="12"/>
  <c r="V126" i="12"/>
  <c r="N126" i="12"/>
  <c r="L126" i="12"/>
  <c r="B126" i="12"/>
  <c r="X125" i="12"/>
  <c r="Z125" i="12" s="1"/>
  <c r="N125" i="12"/>
  <c r="L125" i="12"/>
  <c r="B125" i="12"/>
  <c r="Z124" i="12"/>
  <c r="X124" i="12"/>
  <c r="V124" i="12"/>
  <c r="L124" i="12"/>
  <c r="N124" i="12" s="1"/>
  <c r="B124" i="12"/>
  <c r="X123" i="12"/>
  <c r="T123" i="12"/>
  <c r="Z123" i="12" s="1"/>
  <c r="P123" i="12"/>
  <c r="H123" i="12"/>
  <c r="D123" i="12"/>
  <c r="B123" i="12"/>
  <c r="Z122" i="12"/>
  <c r="X122" i="12"/>
  <c r="V122" i="12"/>
  <c r="N122" i="12"/>
  <c r="L122" i="12"/>
  <c r="B122" i="12"/>
  <c r="Z121" i="12"/>
  <c r="X121" i="12"/>
  <c r="N121" i="12"/>
  <c r="L121" i="12"/>
  <c r="B121" i="12"/>
  <c r="Z120" i="12"/>
  <c r="X120" i="12"/>
  <c r="V120" i="12"/>
  <c r="L120" i="12"/>
  <c r="N120" i="12" s="1"/>
  <c r="B120" i="12"/>
  <c r="X119" i="12"/>
  <c r="Z119" i="12" s="1"/>
  <c r="L119" i="12"/>
  <c r="N119" i="12" s="1"/>
  <c r="B119" i="12"/>
  <c r="T118" i="12"/>
  <c r="P118" i="12"/>
  <c r="X118" i="12" s="1"/>
  <c r="Z118" i="12" s="1"/>
  <c r="N118" i="12"/>
  <c r="H118" i="12"/>
  <c r="D118" i="12"/>
  <c r="L118" i="12" s="1"/>
  <c r="B118" i="12"/>
  <c r="X117" i="12"/>
  <c r="Z117" i="12" s="1"/>
  <c r="N117" i="12"/>
  <c r="L117" i="12"/>
  <c r="B117" i="12"/>
  <c r="Z116" i="12"/>
  <c r="X116" i="12"/>
  <c r="V116" i="12"/>
  <c r="L116" i="12"/>
  <c r="N116" i="12" s="1"/>
  <c r="B116" i="12"/>
  <c r="X115" i="12"/>
  <c r="Z115" i="12" s="1"/>
  <c r="L115" i="12"/>
  <c r="N115" i="12" s="1"/>
  <c r="B115" i="12"/>
  <c r="Z114" i="12"/>
  <c r="X114" i="12"/>
  <c r="N114" i="12"/>
  <c r="L114" i="12"/>
  <c r="J114" i="12"/>
  <c r="B114" i="12"/>
  <c r="T113" i="12"/>
  <c r="P113" i="12"/>
  <c r="X113" i="12" s="1"/>
  <c r="L113" i="12"/>
  <c r="N113" i="12" s="1"/>
  <c r="H113" i="12"/>
  <c r="D113" i="12"/>
  <c r="B113" i="12"/>
  <c r="Z112" i="12"/>
  <c r="X112" i="12"/>
  <c r="V112" i="12"/>
  <c r="L112" i="12"/>
  <c r="N112" i="12" s="1"/>
  <c r="B112" i="12"/>
  <c r="X111" i="12"/>
  <c r="Z111" i="12" s="1"/>
  <c r="T111" i="12"/>
  <c r="P111" i="12"/>
  <c r="L111" i="12"/>
  <c r="H111" i="12"/>
  <c r="D111" i="12"/>
  <c r="B111" i="12"/>
  <c r="Z110" i="12"/>
  <c r="X110" i="12"/>
  <c r="V110" i="12"/>
  <c r="N110" i="12"/>
  <c r="L110" i="12"/>
  <c r="B110" i="12"/>
  <c r="T109" i="12"/>
  <c r="X109" i="12" s="1"/>
  <c r="P109" i="12"/>
  <c r="H109" i="12"/>
  <c r="D109" i="12"/>
  <c r="L109" i="12" s="1"/>
  <c r="B109" i="12"/>
  <c r="X108" i="12"/>
  <c r="Z108" i="12" s="1"/>
  <c r="N108" i="12"/>
  <c r="L108" i="12"/>
  <c r="J108" i="12"/>
  <c r="B108" i="12"/>
  <c r="T107" i="12"/>
  <c r="P107" i="12"/>
  <c r="X107" i="12" s="1"/>
  <c r="H107" i="12"/>
  <c r="D107" i="12"/>
  <c r="L107" i="12" s="1"/>
  <c r="B107" i="12"/>
  <c r="Z106" i="12"/>
  <c r="X106" i="12"/>
  <c r="N106" i="12"/>
  <c r="L106" i="12"/>
  <c r="B106" i="12"/>
  <c r="T105" i="12"/>
  <c r="Z105" i="12" s="1"/>
  <c r="P105" i="12"/>
  <c r="X105" i="12" s="1"/>
  <c r="L105" i="12"/>
  <c r="H105" i="12"/>
  <c r="N105" i="12" s="1"/>
  <c r="D105" i="12"/>
  <c r="B105" i="12"/>
  <c r="Z104" i="12"/>
  <c r="X104" i="12"/>
  <c r="V104" i="12"/>
  <c r="L104" i="12"/>
  <c r="N104" i="12" s="1"/>
  <c r="B104" i="12"/>
  <c r="X103" i="12"/>
  <c r="T103" i="12"/>
  <c r="P103" i="12"/>
  <c r="L103" i="12"/>
  <c r="H103" i="12"/>
  <c r="D103" i="12"/>
  <c r="B103" i="12"/>
  <c r="Z102" i="12"/>
  <c r="X102" i="12"/>
  <c r="V102" i="12"/>
  <c r="N102" i="12"/>
  <c r="L102" i="12"/>
  <c r="B102" i="12"/>
  <c r="X101" i="12"/>
  <c r="Z101" i="12" s="1"/>
  <c r="N101" i="12"/>
  <c r="L101" i="12"/>
  <c r="B101" i="12"/>
  <c r="V100" i="12"/>
  <c r="T100" i="12"/>
  <c r="P100" i="12"/>
  <c r="X100" i="12" s="1"/>
  <c r="Z100" i="12" s="1"/>
  <c r="N100" i="12"/>
  <c r="L100" i="12"/>
  <c r="J100" i="12"/>
  <c r="H100" i="12"/>
  <c r="D100" i="12"/>
  <c r="B100" i="12"/>
  <c r="X99" i="12"/>
  <c r="Z99" i="12" s="1"/>
  <c r="L99" i="12"/>
  <c r="N99" i="12" s="1"/>
  <c r="B99" i="12"/>
  <c r="Z98" i="12"/>
  <c r="X98" i="12"/>
  <c r="V98" i="12"/>
  <c r="N98" i="12"/>
  <c r="L98" i="12"/>
  <c r="B98" i="12"/>
  <c r="T97" i="12"/>
  <c r="P97" i="12"/>
  <c r="H97" i="12"/>
  <c r="D97" i="12"/>
  <c r="L97" i="12" s="1"/>
  <c r="B97" i="12"/>
  <c r="X96" i="12"/>
  <c r="Z96" i="12" s="1"/>
  <c r="N96" i="12"/>
  <c r="L96" i="12"/>
  <c r="J96" i="12"/>
  <c r="B96" i="12"/>
  <c r="T95" i="12"/>
  <c r="P95" i="12"/>
  <c r="X95" i="12" s="1"/>
  <c r="H95" i="12"/>
  <c r="D95" i="12"/>
  <c r="L95" i="12" s="1"/>
  <c r="B95" i="12"/>
  <c r="Z94" i="12"/>
  <c r="X94" i="12"/>
  <c r="N94" i="12"/>
  <c r="L94" i="12"/>
  <c r="B94" i="12"/>
  <c r="T93" i="12"/>
  <c r="Z93" i="12" s="1"/>
  <c r="P93" i="12"/>
  <c r="X93" i="12" s="1"/>
  <c r="L93" i="12"/>
  <c r="H93" i="12"/>
  <c r="N93" i="12" s="1"/>
  <c r="D93" i="12"/>
  <c r="B93" i="12"/>
  <c r="Z92" i="12"/>
  <c r="X92" i="12"/>
  <c r="V92" i="12"/>
  <c r="L92" i="12"/>
  <c r="N92" i="12" s="1"/>
  <c r="B92" i="12"/>
  <c r="X91" i="12"/>
  <c r="T91" i="12"/>
  <c r="P91" i="12"/>
  <c r="L91" i="12"/>
  <c r="H91" i="12"/>
  <c r="D91" i="12"/>
  <c r="B91" i="12"/>
  <c r="Z90" i="12"/>
  <c r="X90" i="12"/>
  <c r="V90" i="12"/>
  <c r="N90" i="12"/>
  <c r="L90" i="12"/>
  <c r="B90" i="12"/>
  <c r="Z89" i="12"/>
  <c r="X89" i="12"/>
  <c r="N89" i="12"/>
  <c r="L89" i="12"/>
  <c r="B89" i="12"/>
  <c r="Z88" i="12"/>
  <c r="V88" i="12"/>
  <c r="T88" i="12"/>
  <c r="P88" i="12"/>
  <c r="X88" i="12" s="1"/>
  <c r="N88" i="12"/>
  <c r="L88" i="12"/>
  <c r="H88" i="12"/>
  <c r="D88" i="12"/>
  <c r="B88" i="12"/>
  <c r="X87" i="12"/>
  <c r="Z87" i="12" s="1"/>
  <c r="L87" i="12"/>
  <c r="N87" i="12" s="1"/>
  <c r="B87" i="12"/>
  <c r="Z86" i="12"/>
  <c r="X86" i="12"/>
  <c r="V86" i="12"/>
  <c r="N86" i="12"/>
  <c r="L86" i="12"/>
  <c r="B86" i="12"/>
  <c r="X85" i="12"/>
  <c r="T85" i="12"/>
  <c r="P85" i="12"/>
  <c r="H85" i="12"/>
  <c r="D85" i="12"/>
  <c r="B85" i="12"/>
  <c r="X84" i="12"/>
  <c r="Z84" i="12" s="1"/>
  <c r="N84" i="12"/>
  <c r="L84" i="12"/>
  <c r="B84" i="12"/>
  <c r="T83" i="12"/>
  <c r="P83" i="12"/>
  <c r="H83" i="12"/>
  <c r="N83" i="12" s="1"/>
  <c r="D83" i="12"/>
  <c r="L83" i="12" s="1"/>
  <c r="B83" i="12"/>
  <c r="Z82" i="12"/>
  <c r="X82" i="12"/>
  <c r="N82" i="12"/>
  <c r="L82" i="12"/>
  <c r="B82" i="12"/>
  <c r="T81" i="12"/>
  <c r="Z81" i="12" s="1"/>
  <c r="P81" i="12"/>
  <c r="X81" i="12" s="1"/>
  <c r="L81" i="12"/>
  <c r="H81" i="12"/>
  <c r="D81" i="12"/>
  <c r="B81" i="12"/>
  <c r="Z80" i="12"/>
  <c r="X80" i="12"/>
  <c r="V80" i="12"/>
  <c r="L80" i="12"/>
  <c r="N80" i="12" s="1"/>
  <c r="B80" i="12"/>
  <c r="X79" i="12"/>
  <c r="T79" i="12"/>
  <c r="P79" i="12"/>
  <c r="H79" i="12"/>
  <c r="L79" i="12" s="1"/>
  <c r="D79" i="12"/>
  <c r="B79" i="12"/>
  <c r="Z78" i="12"/>
  <c r="X78" i="12"/>
  <c r="V78" i="12"/>
  <c r="N78" i="12"/>
  <c r="L78" i="12"/>
  <c r="B78" i="12"/>
  <c r="Z77" i="12"/>
  <c r="X77" i="12"/>
  <c r="N77" i="12"/>
  <c r="L77" i="12"/>
  <c r="B77" i="12"/>
  <c r="Z76" i="12"/>
  <c r="X76" i="12"/>
  <c r="V76" i="12"/>
  <c r="L76" i="12"/>
  <c r="N76" i="12" s="1"/>
  <c r="B76" i="12"/>
  <c r="X75" i="12"/>
  <c r="Z75" i="12" s="1"/>
  <c r="L75" i="12"/>
  <c r="N75" i="12" s="1"/>
  <c r="B75" i="12"/>
  <c r="Z74" i="12"/>
  <c r="X74" i="12"/>
  <c r="N74" i="12"/>
  <c r="L74" i="12"/>
  <c r="B74" i="12"/>
  <c r="X73" i="12"/>
  <c r="Z73" i="12" s="1"/>
  <c r="L73" i="12"/>
  <c r="N73" i="12" s="1"/>
  <c r="B73" i="12"/>
  <c r="X72" i="12"/>
  <c r="Z72" i="12" s="1"/>
  <c r="N72" i="12"/>
  <c r="L72" i="12"/>
  <c r="B72" i="12"/>
  <c r="Z71" i="12"/>
  <c r="X71" i="12"/>
  <c r="N71" i="12"/>
  <c r="L71" i="12"/>
  <c r="B71" i="12"/>
  <c r="Z70" i="12"/>
  <c r="X70" i="12"/>
  <c r="V70" i="12"/>
  <c r="N70" i="12"/>
  <c r="L70" i="12"/>
  <c r="B70" i="12"/>
  <c r="X69" i="12"/>
  <c r="Z69" i="12" s="1"/>
  <c r="L69" i="12"/>
  <c r="N69" i="12" s="1"/>
  <c r="B69" i="12"/>
  <c r="Z68" i="12"/>
  <c r="V68" i="12"/>
  <c r="T68" i="12"/>
  <c r="P68" i="12"/>
  <c r="X68" i="12" s="1"/>
  <c r="J68" i="12"/>
  <c r="H68" i="12"/>
  <c r="D68" i="12"/>
  <c r="L68" i="12" s="1"/>
  <c r="N68" i="12" s="1"/>
  <c r="B68" i="12"/>
  <c r="X67" i="12"/>
  <c r="Z67" i="12" s="1"/>
  <c r="L67" i="12"/>
  <c r="N67" i="12" s="1"/>
  <c r="B67" i="12"/>
  <c r="Z66" i="12"/>
  <c r="X66" i="12"/>
  <c r="V66" i="12"/>
  <c r="N66" i="12"/>
  <c r="L66" i="12"/>
  <c r="B66" i="12"/>
  <c r="X65" i="12"/>
  <c r="Z65" i="12" s="1"/>
  <c r="L65" i="12"/>
  <c r="N65" i="12" s="1"/>
  <c r="B65" i="12"/>
  <c r="Z64" i="12"/>
  <c r="X64" i="12"/>
  <c r="V64" i="12"/>
  <c r="N64" i="12"/>
  <c r="L64" i="12"/>
  <c r="B64" i="12"/>
  <c r="Z63" i="12"/>
  <c r="X63" i="12"/>
  <c r="N63" i="12"/>
  <c r="L63" i="12"/>
  <c r="B63" i="12"/>
  <c r="Z62" i="12"/>
  <c r="X62" i="12"/>
  <c r="N62" i="12"/>
  <c r="L62" i="12"/>
  <c r="B62" i="12"/>
  <c r="X61" i="12"/>
  <c r="Z61" i="12" s="1"/>
  <c r="L61" i="12"/>
  <c r="N61" i="12" s="1"/>
  <c r="B61" i="12"/>
  <c r="X60" i="12"/>
  <c r="Z60" i="12" s="1"/>
  <c r="N60" i="12"/>
  <c r="L60" i="12"/>
  <c r="B60" i="12"/>
  <c r="X59" i="12"/>
  <c r="Z59" i="12" s="1"/>
  <c r="L59" i="12"/>
  <c r="N59" i="12" s="1"/>
  <c r="B59" i="12"/>
  <c r="Z58" i="12"/>
  <c r="X58" i="12"/>
  <c r="V58" i="12"/>
  <c r="N58" i="12"/>
  <c r="L58" i="12"/>
  <c r="B58" i="12"/>
  <c r="X57" i="12"/>
  <c r="T57" i="12"/>
  <c r="P57" i="12"/>
  <c r="H57" i="12"/>
  <c r="D57" i="12"/>
  <c r="B57" i="12"/>
  <c r="T56" i="12"/>
  <c r="P56" i="12"/>
  <c r="X56" i="12" s="1"/>
  <c r="H56" i="12"/>
  <c r="D56" i="12"/>
  <c r="L56" i="12" s="1"/>
  <c r="N56" i="12" s="1"/>
  <c r="Z52" i="12"/>
  <c r="X52" i="12"/>
  <c r="N52" i="12"/>
  <c r="L52" i="12"/>
  <c r="B52" i="12"/>
  <c r="Z51" i="12"/>
  <c r="X51" i="12"/>
  <c r="N51" i="12"/>
  <c r="L51" i="12"/>
  <c r="B51" i="12"/>
  <c r="Z50" i="12"/>
  <c r="X50" i="12"/>
  <c r="V50" i="12"/>
  <c r="N50" i="12"/>
  <c r="L50" i="12"/>
  <c r="B50" i="12"/>
  <c r="Z49" i="12"/>
  <c r="X49" i="12"/>
  <c r="N49" i="12"/>
  <c r="L49" i="12"/>
  <c r="B49" i="12"/>
  <c r="Z48" i="12"/>
  <c r="X48" i="12"/>
  <c r="V48" i="12"/>
  <c r="N48" i="12"/>
  <c r="L48" i="12"/>
  <c r="B48" i="12"/>
  <c r="Z47" i="12"/>
  <c r="X47" i="12"/>
  <c r="N47" i="12"/>
  <c r="L47" i="12"/>
  <c r="B47" i="12"/>
  <c r="Z46" i="12"/>
  <c r="X46" i="12"/>
  <c r="N46" i="12"/>
  <c r="L46" i="12"/>
  <c r="J46" i="12"/>
  <c r="B46" i="12"/>
  <c r="Z45" i="12"/>
  <c r="X45" i="12"/>
  <c r="N45" i="12"/>
  <c r="L45" i="12"/>
  <c r="B45" i="12"/>
  <c r="Z44" i="12"/>
  <c r="X44" i="12"/>
  <c r="N44" i="12"/>
  <c r="L44" i="12"/>
  <c r="B44" i="12"/>
  <c r="Z43" i="12"/>
  <c r="X43" i="12"/>
  <c r="N43" i="12"/>
  <c r="L43" i="12"/>
  <c r="B43" i="12"/>
  <c r="Z42" i="12"/>
  <c r="X42" i="12"/>
  <c r="V42" i="12"/>
  <c r="N42" i="12"/>
  <c r="L42" i="12"/>
  <c r="B42" i="12"/>
  <c r="Z41" i="12"/>
  <c r="X41" i="12"/>
  <c r="N41" i="12"/>
  <c r="L41" i="12"/>
  <c r="B41" i="12"/>
  <c r="Z40" i="12"/>
  <c r="X40" i="12"/>
  <c r="V40" i="12"/>
  <c r="N40" i="12"/>
  <c r="L40" i="12"/>
  <c r="B40" i="12"/>
  <c r="Z39" i="12"/>
  <c r="X39" i="12"/>
  <c r="N39" i="12"/>
  <c r="L39" i="12"/>
  <c r="B39" i="12"/>
  <c r="Z38" i="12"/>
  <c r="X38" i="12"/>
  <c r="N38" i="12"/>
  <c r="L38" i="12"/>
  <c r="J38" i="12"/>
  <c r="B38" i="12"/>
  <c r="Z37" i="12"/>
  <c r="X37" i="12"/>
  <c r="N37" i="12"/>
  <c r="L37" i="12"/>
  <c r="B37" i="12"/>
  <c r="Z36" i="12"/>
  <c r="X36" i="12"/>
  <c r="N36" i="12"/>
  <c r="L36" i="12"/>
  <c r="B36" i="12"/>
  <c r="Z35" i="12"/>
  <c r="X35" i="12"/>
  <c r="N35" i="12"/>
  <c r="L35" i="12"/>
  <c r="B35" i="12"/>
  <c r="Z34" i="12"/>
  <c r="X34" i="12"/>
  <c r="V34" i="12"/>
  <c r="N34" i="12"/>
  <c r="L34" i="12"/>
  <c r="B34" i="12"/>
  <c r="Z33" i="12"/>
  <c r="X33" i="12"/>
  <c r="N33" i="12"/>
  <c r="L33" i="12"/>
  <c r="B33" i="12"/>
  <c r="Z32" i="12"/>
  <c r="X32" i="12"/>
  <c r="V32" i="12"/>
  <c r="N32" i="12"/>
  <c r="L32" i="12"/>
  <c r="B32" i="12"/>
  <c r="Z31" i="12"/>
  <c r="X31" i="12"/>
  <c r="N31" i="12"/>
  <c r="L31" i="12"/>
  <c r="B31" i="12"/>
  <c r="Z30" i="12"/>
  <c r="X30" i="12"/>
  <c r="N30" i="12"/>
  <c r="L30" i="12"/>
  <c r="J30" i="12"/>
  <c r="B30" i="12"/>
  <c r="Z29" i="12"/>
  <c r="X29" i="12"/>
  <c r="N29" i="12"/>
  <c r="L29" i="12"/>
  <c r="B29" i="12"/>
  <c r="Z28" i="12"/>
  <c r="X28" i="12"/>
  <c r="N28" i="12"/>
  <c r="L28" i="12"/>
  <c r="B28" i="12"/>
  <c r="Z27" i="12"/>
  <c r="X27" i="12"/>
  <c r="N27" i="12"/>
  <c r="L27" i="12"/>
  <c r="B27" i="12"/>
  <c r="Z26" i="12"/>
  <c r="X26" i="12"/>
  <c r="V26" i="12"/>
  <c r="N26" i="12"/>
  <c r="L26" i="12"/>
  <c r="B26" i="12"/>
  <c r="Z25" i="12"/>
  <c r="X25" i="12"/>
  <c r="N25" i="12"/>
  <c r="L25" i="12"/>
  <c r="B25" i="12"/>
  <c r="Z24" i="12"/>
  <c r="X24" i="12"/>
  <c r="V24" i="12"/>
  <c r="L24" i="12"/>
  <c r="N24" i="12" s="1"/>
  <c r="B24" i="12"/>
  <c r="X23" i="12"/>
  <c r="Z23" i="12" s="1"/>
  <c r="T23" i="12"/>
  <c r="P23" i="12"/>
  <c r="L23" i="12"/>
  <c r="H23" i="12"/>
  <c r="D23" i="12"/>
  <c r="Z21" i="12"/>
  <c r="P21" i="12"/>
  <c r="X21" i="12" s="1"/>
  <c r="N21" i="12"/>
  <c r="D21" i="12"/>
  <c r="L21" i="12" s="1"/>
  <c r="B21" i="12"/>
  <c r="Z20" i="12"/>
  <c r="P20" i="12"/>
  <c r="X20" i="12" s="1"/>
  <c r="N20" i="12"/>
  <c r="L20" i="12"/>
  <c r="D20" i="12"/>
  <c r="B20" i="12"/>
  <c r="Z19" i="12"/>
  <c r="P19" i="12"/>
  <c r="X19" i="12" s="1"/>
  <c r="N19" i="12"/>
  <c r="D19" i="12"/>
  <c r="L19" i="12" s="1"/>
  <c r="B19" i="12"/>
  <c r="Z18" i="12"/>
  <c r="P18" i="12"/>
  <c r="X18" i="12" s="1"/>
  <c r="N18" i="12"/>
  <c r="D18" i="12"/>
  <c r="L18" i="12" s="1"/>
  <c r="B18" i="12"/>
  <c r="Z17" i="12"/>
  <c r="X17" i="12"/>
  <c r="P17" i="12"/>
  <c r="N17" i="12"/>
  <c r="D17" i="12"/>
  <c r="L17" i="12" s="1"/>
  <c r="B17" i="12"/>
  <c r="Z16" i="12"/>
  <c r="P16" i="12"/>
  <c r="X16" i="12" s="1"/>
  <c r="N16" i="12"/>
  <c r="D16" i="12"/>
  <c r="L16" i="12" s="1"/>
  <c r="B16" i="12"/>
  <c r="X15" i="12"/>
  <c r="Z15" i="12" s="1"/>
  <c r="P15" i="12"/>
  <c r="N15" i="12"/>
  <c r="D15" i="12"/>
  <c r="L15" i="12" s="1"/>
  <c r="B15" i="12"/>
  <c r="Z14" i="12"/>
  <c r="P14" i="12"/>
  <c r="N14" i="12"/>
  <c r="L14" i="12"/>
  <c r="D14" i="12"/>
  <c r="B14" i="12"/>
  <c r="P13" i="12"/>
  <c r="X13" i="12" s="1"/>
  <c r="Z13" i="12" s="1"/>
  <c r="D13" i="12"/>
  <c r="B13" i="12"/>
  <c r="T12" i="12"/>
  <c r="V155" i="12" s="1"/>
  <c r="H12" i="12"/>
  <c r="J144" i="12" s="1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P12" i="11"/>
  <c r="R21" i="11" s="1"/>
  <c r="H12" i="11"/>
  <c r="J16" i="11" s="1"/>
  <c r="D12" i="11"/>
  <c r="F36" i="11" s="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N21" i="10" s="1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D15" i="10"/>
  <c r="T13" i="10"/>
  <c r="Z13" i="10" s="1"/>
  <c r="P13" i="10"/>
  <c r="H13" i="10"/>
  <c r="N13" i="10" s="1"/>
  <c r="D13" i="10"/>
  <c r="B13" i="10"/>
  <c r="T12" i="10"/>
  <c r="V18" i="10" s="1"/>
  <c r="P12" i="10"/>
  <c r="R31" i="10" s="1"/>
  <c r="H12" i="10"/>
  <c r="J22" i="10" s="1"/>
  <c r="D12" i="10"/>
  <c r="F18" i="10" s="1"/>
  <c r="D5" i="10"/>
  <c r="D4" i="10"/>
  <c r="Z97" i="9"/>
  <c r="X97" i="9"/>
  <c r="R97" i="9"/>
  <c r="N97" i="9"/>
  <c r="L97" i="9"/>
  <c r="T93" i="9"/>
  <c r="Z93" i="9" s="1"/>
  <c r="P93" i="9"/>
  <c r="X93" i="9" s="1"/>
  <c r="L93" i="9"/>
  <c r="H93" i="9"/>
  <c r="N93" i="9" s="1"/>
  <c r="D93" i="9"/>
  <c r="Z91" i="9"/>
  <c r="X91" i="9"/>
  <c r="R91" i="9"/>
  <c r="N91" i="9"/>
  <c r="L91" i="9"/>
  <c r="B91" i="9"/>
  <c r="Z90" i="9"/>
  <c r="V90" i="9"/>
  <c r="T90" i="9"/>
  <c r="P90" i="9"/>
  <c r="X90" i="9" s="1"/>
  <c r="N90" i="9"/>
  <c r="L90" i="9"/>
  <c r="H90" i="9"/>
  <c r="F90" i="9"/>
  <c r="D90" i="9"/>
  <c r="B90" i="9"/>
  <c r="X89" i="9"/>
  <c r="Z89" i="9" s="1"/>
  <c r="R89" i="9"/>
  <c r="L89" i="9"/>
  <c r="N89" i="9" s="1"/>
  <c r="B89" i="9"/>
  <c r="Z88" i="9"/>
  <c r="X88" i="9"/>
  <c r="V88" i="9"/>
  <c r="T88" i="9"/>
  <c r="R88" i="9"/>
  <c r="P88" i="9"/>
  <c r="H88" i="9"/>
  <c r="F88" i="9"/>
  <c r="D88" i="9"/>
  <c r="B88" i="9"/>
  <c r="X87" i="9"/>
  <c r="Z87" i="9" s="1"/>
  <c r="L87" i="9"/>
  <c r="N87" i="9" s="1"/>
  <c r="F87" i="9"/>
  <c r="B87" i="9"/>
  <c r="Z86" i="9"/>
  <c r="X86" i="9"/>
  <c r="N86" i="9"/>
  <c r="L86" i="9"/>
  <c r="B86" i="9"/>
  <c r="T85" i="9"/>
  <c r="P85" i="9"/>
  <c r="H85" i="9"/>
  <c r="D85" i="9"/>
  <c r="L85" i="9" s="1"/>
  <c r="B85" i="9"/>
  <c r="Z84" i="9"/>
  <c r="X84" i="9"/>
  <c r="N84" i="9"/>
  <c r="L84" i="9"/>
  <c r="B84" i="9"/>
  <c r="X83" i="9"/>
  <c r="Z83" i="9" s="1"/>
  <c r="N83" i="9"/>
  <c r="L83" i="9"/>
  <c r="F83" i="9"/>
  <c r="B83" i="9"/>
  <c r="Z82" i="9"/>
  <c r="X82" i="9"/>
  <c r="N82" i="9"/>
  <c r="L82" i="9"/>
  <c r="B82" i="9"/>
  <c r="X81" i="9"/>
  <c r="Z81" i="9" s="1"/>
  <c r="R81" i="9"/>
  <c r="L81" i="9"/>
  <c r="N81" i="9" s="1"/>
  <c r="B81" i="9"/>
  <c r="Z80" i="9"/>
  <c r="X80" i="9"/>
  <c r="V80" i="9"/>
  <c r="N80" i="9"/>
  <c r="L80" i="9"/>
  <c r="B80" i="9"/>
  <c r="X79" i="9"/>
  <c r="Z79" i="9" s="1"/>
  <c r="R79" i="9"/>
  <c r="L79" i="9"/>
  <c r="N79" i="9" s="1"/>
  <c r="B79" i="9"/>
  <c r="Z78" i="9"/>
  <c r="V78" i="9"/>
  <c r="T78" i="9"/>
  <c r="X78" i="9" s="1"/>
  <c r="P78" i="9"/>
  <c r="N78" i="9"/>
  <c r="L78" i="9"/>
  <c r="H78" i="9"/>
  <c r="F78" i="9"/>
  <c r="D78" i="9"/>
  <c r="B78" i="9"/>
  <c r="X77" i="9"/>
  <c r="Z77" i="9" s="1"/>
  <c r="R77" i="9"/>
  <c r="L77" i="9"/>
  <c r="N77" i="9" s="1"/>
  <c r="B77" i="9"/>
  <c r="Z76" i="9"/>
  <c r="X76" i="9"/>
  <c r="V76" i="9"/>
  <c r="T76" i="9"/>
  <c r="R76" i="9"/>
  <c r="P76" i="9"/>
  <c r="H76" i="9"/>
  <c r="F76" i="9"/>
  <c r="D76" i="9"/>
  <c r="L76" i="9" s="1"/>
  <c r="B76" i="9"/>
  <c r="X75" i="9"/>
  <c r="Z75" i="9" s="1"/>
  <c r="L75" i="9"/>
  <c r="N75" i="9" s="1"/>
  <c r="F75" i="9"/>
  <c r="B75" i="9"/>
  <c r="Z74" i="9"/>
  <c r="X74" i="9"/>
  <c r="N74" i="9"/>
  <c r="L74" i="9"/>
  <c r="J74" i="9"/>
  <c r="B74" i="9"/>
  <c r="T73" i="9"/>
  <c r="P73" i="9"/>
  <c r="X73" i="9" s="1"/>
  <c r="H73" i="9"/>
  <c r="N73" i="9" s="1"/>
  <c r="D73" i="9"/>
  <c r="L73" i="9" s="1"/>
  <c r="B73" i="9"/>
  <c r="Z72" i="9"/>
  <c r="X72" i="9"/>
  <c r="N72" i="9"/>
  <c r="L72" i="9"/>
  <c r="J72" i="9"/>
  <c r="B72" i="9"/>
  <c r="Z71" i="9"/>
  <c r="X71" i="9"/>
  <c r="L71" i="9"/>
  <c r="N71" i="9" s="1"/>
  <c r="F71" i="9"/>
  <c r="B71" i="9"/>
  <c r="Z70" i="9"/>
  <c r="X70" i="9"/>
  <c r="N70" i="9"/>
  <c r="L70" i="9"/>
  <c r="B70" i="9"/>
  <c r="X69" i="9"/>
  <c r="Z69" i="9" s="1"/>
  <c r="R69" i="9"/>
  <c r="L69" i="9"/>
  <c r="N69" i="9" s="1"/>
  <c r="B69" i="9"/>
  <c r="V68" i="9"/>
  <c r="T68" i="9"/>
  <c r="R68" i="9"/>
  <c r="P68" i="9"/>
  <c r="X68" i="9" s="1"/>
  <c r="Z68" i="9" s="1"/>
  <c r="H68" i="9"/>
  <c r="N68" i="9" s="1"/>
  <c r="F68" i="9"/>
  <c r="D68" i="9"/>
  <c r="L68" i="9" s="1"/>
  <c r="B68" i="9"/>
  <c r="Z67" i="9"/>
  <c r="X67" i="9"/>
  <c r="L67" i="9"/>
  <c r="N67" i="9" s="1"/>
  <c r="F67" i="9"/>
  <c r="B67" i="9"/>
  <c r="Z66" i="9"/>
  <c r="X66" i="9"/>
  <c r="N66" i="9"/>
  <c r="L66" i="9"/>
  <c r="B66" i="9"/>
  <c r="X65" i="9"/>
  <c r="Z65" i="9" s="1"/>
  <c r="R65" i="9"/>
  <c r="L65" i="9"/>
  <c r="N65" i="9" s="1"/>
  <c r="B65" i="9"/>
  <c r="Z64" i="9"/>
  <c r="X64" i="9"/>
  <c r="V64" i="9"/>
  <c r="N64" i="9"/>
  <c r="L64" i="9"/>
  <c r="B64" i="9"/>
  <c r="X63" i="9"/>
  <c r="T63" i="9"/>
  <c r="P63" i="9"/>
  <c r="H63" i="9"/>
  <c r="D63" i="9"/>
  <c r="B63" i="9"/>
  <c r="Z62" i="9"/>
  <c r="X62" i="9"/>
  <c r="N62" i="9"/>
  <c r="L62" i="9"/>
  <c r="J62" i="9"/>
  <c r="B62" i="9"/>
  <c r="T61" i="9"/>
  <c r="P61" i="9"/>
  <c r="X61" i="9" s="1"/>
  <c r="H61" i="9"/>
  <c r="D61" i="9"/>
  <c r="L61" i="9" s="1"/>
  <c r="B61" i="9"/>
  <c r="Z60" i="9"/>
  <c r="X60" i="9"/>
  <c r="N60" i="9"/>
  <c r="L60" i="9"/>
  <c r="B60" i="9"/>
  <c r="T59" i="9"/>
  <c r="Z59" i="9" s="1"/>
  <c r="P59" i="9"/>
  <c r="X59" i="9" s="1"/>
  <c r="L59" i="9"/>
  <c r="H59" i="9"/>
  <c r="N59" i="9" s="1"/>
  <c r="D59" i="9"/>
  <c r="B59" i="9"/>
  <c r="Z58" i="9"/>
  <c r="X58" i="9"/>
  <c r="V58" i="9"/>
  <c r="N58" i="9"/>
  <c r="L58" i="9"/>
  <c r="B58" i="9"/>
  <c r="X57" i="9"/>
  <c r="T57" i="9"/>
  <c r="P57" i="9"/>
  <c r="H57" i="9"/>
  <c r="D57" i="9"/>
  <c r="B57" i="9"/>
  <c r="Z56" i="9"/>
  <c r="X56" i="9"/>
  <c r="V56" i="9"/>
  <c r="N56" i="9"/>
  <c r="L56" i="9"/>
  <c r="B56" i="9"/>
  <c r="X55" i="9"/>
  <c r="T55" i="9"/>
  <c r="P55" i="9"/>
  <c r="H55" i="9"/>
  <c r="D55" i="9"/>
  <c r="B55" i="9"/>
  <c r="Z54" i="9"/>
  <c r="X54" i="9"/>
  <c r="N54" i="9"/>
  <c r="L54" i="9"/>
  <c r="J54" i="9"/>
  <c r="B54" i="9"/>
  <c r="T53" i="9"/>
  <c r="P53" i="9"/>
  <c r="X53" i="9" s="1"/>
  <c r="H53" i="9"/>
  <c r="D53" i="9"/>
  <c r="L53" i="9" s="1"/>
  <c r="B53" i="9"/>
  <c r="Z52" i="9"/>
  <c r="X52" i="9"/>
  <c r="N52" i="9"/>
  <c r="L52" i="9"/>
  <c r="B52" i="9"/>
  <c r="T51" i="9"/>
  <c r="Z51" i="9" s="1"/>
  <c r="P51" i="9"/>
  <c r="X51" i="9" s="1"/>
  <c r="L51" i="9"/>
  <c r="H51" i="9"/>
  <c r="N51" i="9" s="1"/>
  <c r="D51" i="9"/>
  <c r="B51" i="9"/>
  <c r="Z50" i="9"/>
  <c r="X50" i="9"/>
  <c r="V50" i="9"/>
  <c r="N50" i="9"/>
  <c r="L50" i="9"/>
  <c r="B50" i="9"/>
  <c r="X49" i="9"/>
  <c r="Z49" i="9" s="1"/>
  <c r="L49" i="9"/>
  <c r="N49" i="9" s="1"/>
  <c r="F49" i="9"/>
  <c r="B49" i="9"/>
  <c r="Z48" i="9"/>
  <c r="X48" i="9"/>
  <c r="T48" i="9"/>
  <c r="P48" i="9"/>
  <c r="H48" i="9"/>
  <c r="L48" i="9" s="1"/>
  <c r="N48" i="9" s="1"/>
  <c r="D48" i="9"/>
  <c r="B48" i="9"/>
  <c r="X47" i="9"/>
  <c r="Z47" i="9" s="1"/>
  <c r="R47" i="9"/>
  <c r="L47" i="9"/>
  <c r="N47" i="9" s="1"/>
  <c r="B47" i="9"/>
  <c r="V46" i="9"/>
  <c r="T46" i="9"/>
  <c r="X46" i="9" s="1"/>
  <c r="Z46" i="9" s="1"/>
  <c r="P46" i="9"/>
  <c r="H46" i="9"/>
  <c r="F46" i="9"/>
  <c r="D46" i="9"/>
  <c r="L46" i="9" s="1"/>
  <c r="N46" i="9" s="1"/>
  <c r="B46" i="9"/>
  <c r="X45" i="9"/>
  <c r="Z45" i="9" s="1"/>
  <c r="R45" i="9"/>
  <c r="L45" i="9"/>
  <c r="N45" i="9" s="1"/>
  <c r="B45" i="9"/>
  <c r="V44" i="9"/>
  <c r="T44" i="9"/>
  <c r="R44" i="9"/>
  <c r="P44" i="9"/>
  <c r="X44" i="9" s="1"/>
  <c r="Z44" i="9" s="1"/>
  <c r="H44" i="9"/>
  <c r="F44" i="9"/>
  <c r="D44" i="9"/>
  <c r="L44" i="9" s="1"/>
  <c r="N44" i="9" s="1"/>
  <c r="B44" i="9"/>
  <c r="X43" i="9"/>
  <c r="Z43" i="9" s="1"/>
  <c r="L43" i="9"/>
  <c r="N43" i="9" s="1"/>
  <c r="F43" i="9"/>
  <c r="B43" i="9"/>
  <c r="T42" i="9"/>
  <c r="R42" i="9"/>
  <c r="P42" i="9"/>
  <c r="X42" i="9" s="1"/>
  <c r="Z42" i="9" s="1"/>
  <c r="N42" i="9"/>
  <c r="L42" i="9"/>
  <c r="H42" i="9"/>
  <c r="D42" i="9"/>
  <c r="B42" i="9"/>
  <c r="Z41" i="9"/>
  <c r="X41" i="9"/>
  <c r="N41" i="9"/>
  <c r="L41" i="9"/>
  <c r="F41" i="9"/>
  <c r="B41" i="9"/>
  <c r="Z40" i="9"/>
  <c r="X40" i="9"/>
  <c r="N40" i="9"/>
  <c r="L40" i="9"/>
  <c r="J40" i="9"/>
  <c r="B40" i="9"/>
  <c r="X39" i="9"/>
  <c r="Z39" i="9" s="1"/>
  <c r="L39" i="9"/>
  <c r="N39" i="9" s="1"/>
  <c r="F39" i="9"/>
  <c r="B39" i="9"/>
  <c r="Z38" i="9"/>
  <c r="X38" i="9"/>
  <c r="N38" i="9"/>
  <c r="L38" i="9"/>
  <c r="B38" i="9"/>
  <c r="Z37" i="9"/>
  <c r="X37" i="9"/>
  <c r="R37" i="9"/>
  <c r="N37" i="9"/>
  <c r="L37" i="9"/>
  <c r="B37" i="9"/>
  <c r="Z36" i="9"/>
  <c r="X36" i="9"/>
  <c r="V36" i="9"/>
  <c r="N36" i="9"/>
  <c r="L36" i="9"/>
  <c r="B36" i="9"/>
  <c r="X35" i="9"/>
  <c r="Z35" i="9" s="1"/>
  <c r="R35" i="9"/>
  <c r="L35" i="9"/>
  <c r="N35" i="9" s="1"/>
  <c r="B35" i="9"/>
  <c r="Z34" i="9"/>
  <c r="X34" i="9"/>
  <c r="V34" i="9"/>
  <c r="N34" i="9"/>
  <c r="L34" i="9"/>
  <c r="B34" i="9"/>
  <c r="X33" i="9"/>
  <c r="Z33" i="9" s="1"/>
  <c r="L33" i="9"/>
  <c r="N33" i="9" s="1"/>
  <c r="F33" i="9"/>
  <c r="B33" i="9"/>
  <c r="Z32" i="9"/>
  <c r="X32" i="9"/>
  <c r="N32" i="9"/>
  <c r="L32" i="9"/>
  <c r="B32" i="9"/>
  <c r="T31" i="9"/>
  <c r="Z31" i="9" s="1"/>
  <c r="P31" i="9"/>
  <c r="X31" i="9" s="1"/>
  <c r="L31" i="9"/>
  <c r="H31" i="9"/>
  <c r="D31" i="9"/>
  <c r="B31" i="9"/>
  <c r="Z30" i="9"/>
  <c r="X30" i="9"/>
  <c r="V30" i="9"/>
  <c r="N30" i="9"/>
  <c r="L30" i="9"/>
  <c r="B30" i="9"/>
  <c r="X29" i="9"/>
  <c r="Z29" i="9" s="1"/>
  <c r="L29" i="9"/>
  <c r="N29" i="9" s="1"/>
  <c r="F29" i="9"/>
  <c r="B29" i="9"/>
  <c r="Z28" i="9"/>
  <c r="X28" i="9"/>
  <c r="N28" i="9"/>
  <c r="L28" i="9"/>
  <c r="J28" i="9"/>
  <c r="B28" i="9"/>
  <c r="X27" i="9"/>
  <c r="Z27" i="9" s="1"/>
  <c r="L27" i="9"/>
  <c r="N27" i="9" s="1"/>
  <c r="F27" i="9"/>
  <c r="B27" i="9"/>
  <c r="Z26" i="9"/>
  <c r="X26" i="9"/>
  <c r="N26" i="9"/>
  <c r="L26" i="9"/>
  <c r="B26" i="9"/>
  <c r="X25" i="9"/>
  <c r="Z25" i="9" s="1"/>
  <c r="R25" i="9"/>
  <c r="L25" i="9"/>
  <c r="N25" i="9" s="1"/>
  <c r="B25" i="9"/>
  <c r="Z24" i="9"/>
  <c r="X24" i="9"/>
  <c r="V24" i="9"/>
  <c r="N24" i="9"/>
  <c r="L24" i="9"/>
  <c r="B24" i="9"/>
  <c r="X23" i="9"/>
  <c r="Z23" i="9" s="1"/>
  <c r="R23" i="9"/>
  <c r="L23" i="9"/>
  <c r="N23" i="9" s="1"/>
  <c r="B23" i="9"/>
  <c r="Z22" i="9"/>
  <c r="X22" i="9"/>
  <c r="V22" i="9"/>
  <c r="N22" i="9"/>
  <c r="L22" i="9"/>
  <c r="B22" i="9"/>
  <c r="X21" i="9"/>
  <c r="Z21" i="9" s="1"/>
  <c r="L21" i="9"/>
  <c r="N21" i="9" s="1"/>
  <c r="F21" i="9"/>
  <c r="B21" i="9"/>
  <c r="Z20" i="9"/>
  <c r="X20" i="9"/>
  <c r="N20" i="9"/>
  <c r="L20" i="9"/>
  <c r="J20" i="9"/>
  <c r="B20" i="9"/>
  <c r="T19" i="9"/>
  <c r="P19" i="9"/>
  <c r="X19" i="9" s="1"/>
  <c r="L19" i="9"/>
  <c r="H19" i="9"/>
  <c r="D19" i="9"/>
  <c r="B19" i="9"/>
  <c r="V18" i="9"/>
  <c r="T18" i="9"/>
  <c r="P18" i="9"/>
  <c r="X18" i="9" s="1"/>
  <c r="Z18" i="9" s="1"/>
  <c r="H18" i="9"/>
  <c r="F18" i="9"/>
  <c r="D18" i="9"/>
  <c r="L18" i="9" s="1"/>
  <c r="R16" i="9"/>
  <c r="P16" i="9"/>
  <c r="P95" i="9" s="1"/>
  <c r="Z14" i="9"/>
  <c r="V14" i="9"/>
  <c r="T14" i="9"/>
  <c r="X14" i="9" s="1"/>
  <c r="R14" i="9"/>
  <c r="P14" i="9"/>
  <c r="J14" i="9"/>
  <c r="H14" i="9"/>
  <c r="N14" i="9" s="1"/>
  <c r="F14" i="9"/>
  <c r="D14" i="9"/>
  <c r="L14" i="9" s="1"/>
  <c r="T12" i="9"/>
  <c r="V102" i="9" s="1"/>
  <c r="P12" i="9"/>
  <c r="R85" i="9" s="1"/>
  <c r="H12" i="9"/>
  <c r="J86" i="9" s="1"/>
  <c r="D12" i="9"/>
  <c r="F102" i="9" s="1"/>
  <c r="D4" i="9"/>
  <c r="B39" i="8"/>
  <c r="B38" i="8"/>
  <c r="T34" i="8"/>
  <c r="Z34" i="8" s="1"/>
  <c r="P34" i="8"/>
  <c r="H34" i="8"/>
  <c r="N34" i="8" s="1"/>
  <c r="D34" i="8"/>
  <c r="L34" i="8" s="1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P22" i="8"/>
  <c r="H22" i="8"/>
  <c r="N22" i="8" s="1"/>
  <c r="D22" i="8"/>
  <c r="B22" i="8"/>
  <c r="T21" i="8"/>
  <c r="Z21" i="8" s="1"/>
  <c r="P21" i="8"/>
  <c r="H21" i="8"/>
  <c r="N21" i="8" s="1"/>
  <c r="D21" i="8"/>
  <c r="B21" i="8"/>
  <c r="T20" i="8"/>
  <c r="Z20" i="8" s="1"/>
  <c r="P20" i="8"/>
  <c r="H20" i="8"/>
  <c r="D20" i="8"/>
  <c r="T16" i="8"/>
  <c r="Z16" i="8" s="1"/>
  <c r="P16" i="8"/>
  <c r="H16" i="8"/>
  <c r="D16" i="8"/>
  <c r="B16" i="8"/>
  <c r="T15" i="8"/>
  <c r="Z15" i="8" s="1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36" i="8" s="1"/>
  <c r="P12" i="8"/>
  <c r="R21" i="8" s="1"/>
  <c r="H12" i="8"/>
  <c r="N12" i="8" s="1"/>
  <c r="D12" i="8"/>
  <c r="F36" i="8" s="1"/>
  <c r="D5" i="8"/>
  <c r="D4" i="8"/>
  <c r="B39" i="7"/>
  <c r="B38" i="7"/>
  <c r="T34" i="7"/>
  <c r="Z34" i="7" s="1"/>
  <c r="P34" i="7"/>
  <c r="H34" i="7"/>
  <c r="N34" i="7" s="1"/>
  <c r="D34" i="7"/>
  <c r="T33" i="7"/>
  <c r="P33" i="7"/>
  <c r="H33" i="7"/>
  <c r="N33" i="7" s="1"/>
  <c r="D33" i="7"/>
  <c r="T29" i="7"/>
  <c r="P29" i="7"/>
  <c r="H29" i="7"/>
  <c r="N29" i="7" s="1"/>
  <c r="D29" i="7"/>
  <c r="T25" i="7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N16" i="7" s="1"/>
  <c r="D16" i="7"/>
  <c r="B16" i="7"/>
  <c r="T15" i="7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18" i="7" s="1"/>
  <c r="P12" i="7"/>
  <c r="R31" i="7" s="1"/>
  <c r="H12" i="7"/>
  <c r="J22" i="7" s="1"/>
  <c r="D12" i="7"/>
  <c r="D5" i="7"/>
  <c r="D4" i="7"/>
  <c r="T29" i="6"/>
  <c r="P29" i="6"/>
  <c r="X29" i="6" s="1"/>
  <c r="Z29" i="6" s="1"/>
  <c r="L29" i="6"/>
  <c r="J29" i="6"/>
  <c r="H29" i="6"/>
  <c r="N29" i="6" s="1"/>
  <c r="D29" i="6"/>
  <c r="X28" i="6"/>
  <c r="T28" i="6"/>
  <c r="R28" i="6"/>
  <c r="P28" i="6"/>
  <c r="H28" i="6"/>
  <c r="D28" i="6"/>
  <c r="L28" i="6" s="1"/>
  <c r="J26" i="6"/>
  <c r="Z24" i="6"/>
  <c r="X24" i="6"/>
  <c r="N24" i="6"/>
  <c r="L24" i="6"/>
  <c r="Z20" i="6"/>
  <c r="T20" i="6"/>
  <c r="P20" i="6"/>
  <c r="X20" i="6" s="1"/>
  <c r="L20" i="6"/>
  <c r="J20" i="6"/>
  <c r="H20" i="6"/>
  <c r="N20" i="6" s="1"/>
  <c r="D20" i="6"/>
  <c r="X18" i="6"/>
  <c r="T18" i="6"/>
  <c r="Z18" i="6" s="1"/>
  <c r="P18" i="6"/>
  <c r="H18" i="6"/>
  <c r="N18" i="6" s="1"/>
  <c r="D18" i="6"/>
  <c r="P16" i="6"/>
  <c r="J16" i="6"/>
  <c r="V14" i="6"/>
  <c r="T14" i="6"/>
  <c r="X14" i="6" s="1"/>
  <c r="R14" i="6"/>
  <c r="P14" i="6"/>
  <c r="H14" i="6"/>
  <c r="D14" i="6"/>
  <c r="Z12" i="6"/>
  <c r="T12" i="6"/>
  <c r="V31" i="6" s="1"/>
  <c r="P12" i="6"/>
  <c r="R22" i="6" s="1"/>
  <c r="L12" i="6"/>
  <c r="H12" i="6"/>
  <c r="J24" i="6" s="1"/>
  <c r="D12" i="6"/>
  <c r="D4" i="6"/>
  <c r="B39" i="5"/>
  <c r="B38" i="5"/>
  <c r="T34" i="5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P12" i="5"/>
  <c r="R18" i="5" s="1"/>
  <c r="H12" i="5"/>
  <c r="J20" i="5" s="1"/>
  <c r="D12" i="5"/>
  <c r="F36" i="5" s="1"/>
  <c r="D5" i="5"/>
  <c r="D4" i="5"/>
  <c r="B39" i="4"/>
  <c r="B38" i="4"/>
  <c r="T34" i="4"/>
  <c r="Z34" i="4" s="1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V18" i="4" s="1"/>
  <c r="P12" i="4"/>
  <c r="R20" i="4" s="1"/>
  <c r="H12" i="4"/>
  <c r="J21" i="4" s="1"/>
  <c r="D12" i="4"/>
  <c r="F18" i="4" s="1"/>
  <c r="D5" i="4"/>
  <c r="D4" i="4"/>
  <c r="T182" i="3"/>
  <c r="P182" i="3"/>
  <c r="H182" i="3"/>
  <c r="D182" i="3"/>
  <c r="L182" i="3" s="1"/>
  <c r="N182" i="3" s="1"/>
  <c r="V181" i="3"/>
  <c r="T181" i="3"/>
  <c r="P181" i="3"/>
  <c r="X181" i="3" s="1"/>
  <c r="Z181" i="3" s="1"/>
  <c r="L181" i="3"/>
  <c r="N181" i="3" s="1"/>
  <c r="H181" i="3"/>
  <c r="D181" i="3"/>
  <c r="Z177" i="3"/>
  <c r="X177" i="3"/>
  <c r="V177" i="3"/>
  <c r="L177" i="3"/>
  <c r="N177" i="3" s="1"/>
  <c r="Z173" i="3"/>
  <c r="P173" i="3"/>
  <c r="X173" i="3" s="1"/>
  <c r="N173" i="3"/>
  <c r="L173" i="3"/>
  <c r="D173" i="3"/>
  <c r="B173" i="3"/>
  <c r="Z172" i="3"/>
  <c r="X172" i="3"/>
  <c r="P172" i="3"/>
  <c r="N172" i="3"/>
  <c r="D172" i="3"/>
  <c r="L172" i="3" s="1"/>
  <c r="B172" i="3"/>
  <c r="Z171" i="3"/>
  <c r="P171" i="3"/>
  <c r="X171" i="3" s="1"/>
  <c r="N171" i="3"/>
  <c r="L171" i="3"/>
  <c r="D171" i="3"/>
  <c r="B171" i="3"/>
  <c r="Z170" i="3"/>
  <c r="X170" i="3"/>
  <c r="V170" i="3"/>
  <c r="P170" i="3"/>
  <c r="N170" i="3"/>
  <c r="D170" i="3"/>
  <c r="L170" i="3" s="1"/>
  <c r="B170" i="3"/>
  <c r="V169" i="3"/>
  <c r="P169" i="3"/>
  <c r="X169" i="3" s="1"/>
  <c r="Z169" i="3" s="1"/>
  <c r="N169" i="3"/>
  <c r="L169" i="3"/>
  <c r="J169" i="3"/>
  <c r="D169" i="3"/>
  <c r="B169" i="3"/>
  <c r="P168" i="3"/>
  <c r="X168" i="3" s="1"/>
  <c r="Z168" i="3" s="1"/>
  <c r="J168" i="3"/>
  <c r="D168" i="3"/>
  <c r="L168" i="3" s="1"/>
  <c r="N168" i="3" s="1"/>
  <c r="B168" i="3"/>
  <c r="Z167" i="3"/>
  <c r="P167" i="3"/>
  <c r="X167" i="3" s="1"/>
  <c r="N167" i="3"/>
  <c r="D167" i="3"/>
  <c r="L167" i="3" s="1"/>
  <c r="B167" i="3"/>
  <c r="Z166" i="3"/>
  <c r="X166" i="3"/>
  <c r="P166" i="3"/>
  <c r="P165" i="3" s="1"/>
  <c r="X165" i="3" s="1"/>
  <c r="N166" i="3"/>
  <c r="D166" i="3"/>
  <c r="D165" i="3" s="1"/>
  <c r="L165" i="3" s="1"/>
  <c r="N165" i="3" s="1"/>
  <c r="B166" i="3"/>
  <c r="T165" i="3"/>
  <c r="Z165" i="3" s="1"/>
  <c r="H165" i="3"/>
  <c r="Z163" i="3"/>
  <c r="X163" i="3"/>
  <c r="V163" i="3"/>
  <c r="L163" i="3"/>
  <c r="N163" i="3" s="1"/>
  <c r="B163" i="3"/>
  <c r="X162" i="3"/>
  <c r="Z162" i="3" s="1"/>
  <c r="T162" i="3"/>
  <c r="P162" i="3"/>
  <c r="H162" i="3"/>
  <c r="D162" i="3"/>
  <c r="B162" i="3"/>
  <c r="X161" i="3"/>
  <c r="Z161" i="3" s="1"/>
  <c r="N161" i="3"/>
  <c r="L161" i="3"/>
  <c r="B161" i="3"/>
  <c r="Z160" i="3"/>
  <c r="X160" i="3"/>
  <c r="N160" i="3"/>
  <c r="L160" i="3"/>
  <c r="B160" i="3"/>
  <c r="Z159" i="3"/>
  <c r="X159" i="3"/>
  <c r="V159" i="3"/>
  <c r="L159" i="3"/>
  <c r="N159" i="3" s="1"/>
  <c r="B159" i="3"/>
  <c r="X158" i="3"/>
  <c r="T158" i="3"/>
  <c r="Z158" i="3" s="1"/>
  <c r="P158" i="3"/>
  <c r="H158" i="3"/>
  <c r="D158" i="3"/>
  <c r="B158" i="3"/>
  <c r="X157" i="3"/>
  <c r="Z157" i="3" s="1"/>
  <c r="N157" i="3"/>
  <c r="L157" i="3"/>
  <c r="B157" i="3"/>
  <c r="T156" i="3"/>
  <c r="P156" i="3"/>
  <c r="J156" i="3"/>
  <c r="H156" i="3"/>
  <c r="D156" i="3"/>
  <c r="L156" i="3" s="1"/>
  <c r="B156" i="3"/>
  <c r="X155" i="3"/>
  <c r="Z155" i="3" s="1"/>
  <c r="N155" i="3"/>
  <c r="L155" i="3"/>
  <c r="J155" i="3"/>
  <c r="B155" i="3"/>
  <c r="X154" i="3"/>
  <c r="Z154" i="3" s="1"/>
  <c r="V154" i="3"/>
  <c r="L154" i="3"/>
  <c r="N154" i="3" s="1"/>
  <c r="B154" i="3"/>
  <c r="X153" i="3"/>
  <c r="Z153" i="3" s="1"/>
  <c r="T153" i="3"/>
  <c r="P153" i="3"/>
  <c r="H153" i="3"/>
  <c r="D153" i="3"/>
  <c r="B153" i="3"/>
  <c r="Z152" i="3"/>
  <c r="X152" i="3"/>
  <c r="N152" i="3"/>
  <c r="L152" i="3"/>
  <c r="B152" i="3"/>
  <c r="X151" i="3"/>
  <c r="Z151" i="3" s="1"/>
  <c r="N151" i="3"/>
  <c r="L151" i="3"/>
  <c r="J151" i="3"/>
  <c r="B151" i="3"/>
  <c r="X150" i="3"/>
  <c r="Z150" i="3" s="1"/>
  <c r="V150" i="3"/>
  <c r="L150" i="3"/>
  <c r="N150" i="3" s="1"/>
  <c r="B150" i="3"/>
  <c r="X149" i="3"/>
  <c r="Z149" i="3" s="1"/>
  <c r="N149" i="3"/>
  <c r="L149" i="3"/>
  <c r="B149" i="3"/>
  <c r="Z148" i="3"/>
  <c r="X148" i="3"/>
  <c r="N148" i="3"/>
  <c r="L148" i="3"/>
  <c r="B148" i="3"/>
  <c r="Z147" i="3"/>
  <c r="X147" i="3"/>
  <c r="V147" i="3"/>
  <c r="L147" i="3"/>
  <c r="N147" i="3" s="1"/>
  <c r="B147" i="3"/>
  <c r="X146" i="3"/>
  <c r="Z146" i="3" s="1"/>
  <c r="L146" i="3"/>
  <c r="N146" i="3" s="1"/>
  <c r="J146" i="3"/>
  <c r="B146" i="3"/>
  <c r="Z145" i="3"/>
  <c r="X145" i="3"/>
  <c r="L145" i="3"/>
  <c r="N145" i="3" s="1"/>
  <c r="B145" i="3"/>
  <c r="Z144" i="3"/>
  <c r="X144" i="3"/>
  <c r="N144" i="3"/>
  <c r="L144" i="3"/>
  <c r="B144" i="3"/>
  <c r="X143" i="3"/>
  <c r="Z143" i="3" s="1"/>
  <c r="N143" i="3"/>
  <c r="L143" i="3"/>
  <c r="J143" i="3"/>
  <c r="B143" i="3"/>
  <c r="V142" i="3"/>
  <c r="T142" i="3"/>
  <c r="Z142" i="3" s="1"/>
  <c r="P142" i="3"/>
  <c r="X142" i="3" s="1"/>
  <c r="H142" i="3"/>
  <c r="N142" i="3" s="1"/>
  <c r="D142" i="3"/>
  <c r="L142" i="3" s="1"/>
  <c r="B142" i="3"/>
  <c r="Z141" i="3"/>
  <c r="X141" i="3"/>
  <c r="L141" i="3"/>
  <c r="N141" i="3" s="1"/>
  <c r="B141" i="3"/>
  <c r="Z140" i="3"/>
  <c r="X140" i="3"/>
  <c r="N140" i="3"/>
  <c r="L140" i="3"/>
  <c r="B140" i="3"/>
  <c r="T139" i="3"/>
  <c r="P139" i="3"/>
  <c r="H139" i="3"/>
  <c r="D139" i="3"/>
  <c r="L139" i="3" s="1"/>
  <c r="N139" i="3" s="1"/>
  <c r="B139" i="3"/>
  <c r="X138" i="3"/>
  <c r="Z138" i="3" s="1"/>
  <c r="L138" i="3"/>
  <c r="N138" i="3" s="1"/>
  <c r="J138" i="3"/>
  <c r="B138" i="3"/>
  <c r="Z137" i="3"/>
  <c r="X137" i="3"/>
  <c r="L137" i="3"/>
  <c r="N137" i="3" s="1"/>
  <c r="B137" i="3"/>
  <c r="Z136" i="3"/>
  <c r="X136" i="3"/>
  <c r="N136" i="3"/>
  <c r="L136" i="3"/>
  <c r="B136" i="3"/>
  <c r="X135" i="3"/>
  <c r="Z135" i="3" s="1"/>
  <c r="N135" i="3"/>
  <c r="L135" i="3"/>
  <c r="J135" i="3"/>
  <c r="B135" i="3"/>
  <c r="X134" i="3"/>
  <c r="Z134" i="3" s="1"/>
  <c r="V134" i="3"/>
  <c r="L134" i="3"/>
  <c r="N134" i="3" s="1"/>
  <c r="B134" i="3"/>
  <c r="X133" i="3"/>
  <c r="Z133" i="3" s="1"/>
  <c r="T133" i="3"/>
  <c r="P133" i="3"/>
  <c r="H133" i="3"/>
  <c r="D133" i="3"/>
  <c r="B133" i="3"/>
  <c r="Z132" i="3"/>
  <c r="X132" i="3"/>
  <c r="N132" i="3"/>
  <c r="L132" i="3"/>
  <c r="B132" i="3"/>
  <c r="Z131" i="3"/>
  <c r="X131" i="3"/>
  <c r="N131" i="3"/>
  <c r="L131" i="3"/>
  <c r="J131" i="3"/>
  <c r="B131" i="3"/>
  <c r="X130" i="3"/>
  <c r="Z130" i="3" s="1"/>
  <c r="V130" i="3"/>
  <c r="L130" i="3"/>
  <c r="N130" i="3" s="1"/>
  <c r="B130" i="3"/>
  <c r="X129" i="3"/>
  <c r="Z129" i="3" s="1"/>
  <c r="N129" i="3"/>
  <c r="L129" i="3"/>
  <c r="B129" i="3"/>
  <c r="T128" i="3"/>
  <c r="P128" i="3"/>
  <c r="J128" i="3"/>
  <c r="H128" i="3"/>
  <c r="N128" i="3" s="1"/>
  <c r="D128" i="3"/>
  <c r="L128" i="3" s="1"/>
  <c r="B128" i="3"/>
  <c r="X127" i="3"/>
  <c r="Z127" i="3" s="1"/>
  <c r="N127" i="3"/>
  <c r="L127" i="3"/>
  <c r="J127" i="3"/>
  <c r="B127" i="3"/>
  <c r="X126" i="3"/>
  <c r="Z126" i="3" s="1"/>
  <c r="V126" i="3"/>
  <c r="L126" i="3"/>
  <c r="N126" i="3" s="1"/>
  <c r="B126" i="3"/>
  <c r="X125" i="3"/>
  <c r="Z125" i="3" s="1"/>
  <c r="N125" i="3"/>
  <c r="L125" i="3"/>
  <c r="B125" i="3"/>
  <c r="Z124" i="3"/>
  <c r="X124" i="3"/>
  <c r="N124" i="3"/>
  <c r="L124" i="3"/>
  <c r="B124" i="3"/>
  <c r="V123" i="3"/>
  <c r="T123" i="3"/>
  <c r="P123" i="3"/>
  <c r="X123" i="3" s="1"/>
  <c r="Z123" i="3" s="1"/>
  <c r="L123" i="3"/>
  <c r="N123" i="3" s="1"/>
  <c r="H123" i="3"/>
  <c r="D123" i="3"/>
  <c r="B123" i="3"/>
  <c r="X122" i="3"/>
  <c r="Z122" i="3" s="1"/>
  <c r="V122" i="3"/>
  <c r="L122" i="3"/>
  <c r="N122" i="3" s="1"/>
  <c r="B122" i="3"/>
  <c r="X121" i="3"/>
  <c r="Z121" i="3" s="1"/>
  <c r="T121" i="3"/>
  <c r="P121" i="3"/>
  <c r="H121" i="3"/>
  <c r="D121" i="3"/>
  <c r="B121" i="3"/>
  <c r="Z120" i="3"/>
  <c r="X120" i="3"/>
  <c r="N120" i="3"/>
  <c r="L120" i="3"/>
  <c r="B120" i="3"/>
  <c r="T119" i="3"/>
  <c r="P119" i="3"/>
  <c r="H119" i="3"/>
  <c r="D119" i="3"/>
  <c r="L119" i="3" s="1"/>
  <c r="N119" i="3" s="1"/>
  <c r="B119" i="3"/>
  <c r="X118" i="3"/>
  <c r="Z118" i="3" s="1"/>
  <c r="L118" i="3"/>
  <c r="N118" i="3" s="1"/>
  <c r="J118" i="3"/>
  <c r="B118" i="3"/>
  <c r="T117" i="3"/>
  <c r="P117" i="3"/>
  <c r="X117" i="3" s="1"/>
  <c r="Z117" i="3" s="1"/>
  <c r="J117" i="3"/>
  <c r="H117" i="3"/>
  <c r="D117" i="3"/>
  <c r="L117" i="3" s="1"/>
  <c r="N117" i="3" s="1"/>
  <c r="B117" i="3"/>
  <c r="Z116" i="3"/>
  <c r="X116" i="3"/>
  <c r="N116" i="3"/>
  <c r="L116" i="3"/>
  <c r="B116" i="3"/>
  <c r="V115" i="3"/>
  <c r="T115" i="3"/>
  <c r="P115" i="3"/>
  <c r="X115" i="3" s="1"/>
  <c r="Z115" i="3" s="1"/>
  <c r="L115" i="3"/>
  <c r="N115" i="3" s="1"/>
  <c r="H115" i="3"/>
  <c r="D115" i="3"/>
  <c r="B115" i="3"/>
  <c r="X114" i="3"/>
  <c r="Z114" i="3" s="1"/>
  <c r="V114" i="3"/>
  <c r="L114" i="3"/>
  <c r="N114" i="3" s="1"/>
  <c r="B114" i="3"/>
  <c r="X113" i="3"/>
  <c r="Z113" i="3" s="1"/>
  <c r="T113" i="3"/>
  <c r="P113" i="3"/>
  <c r="H113" i="3"/>
  <c r="D113" i="3"/>
  <c r="B113" i="3"/>
  <c r="Z112" i="3"/>
  <c r="X112" i="3"/>
  <c r="N112" i="3"/>
  <c r="L112" i="3"/>
  <c r="B112" i="3"/>
  <c r="T111" i="3"/>
  <c r="P111" i="3"/>
  <c r="H111" i="3"/>
  <c r="D111" i="3"/>
  <c r="L111" i="3" s="1"/>
  <c r="N111" i="3" s="1"/>
  <c r="B111" i="3"/>
  <c r="X110" i="3"/>
  <c r="Z110" i="3" s="1"/>
  <c r="L110" i="3"/>
  <c r="N110" i="3" s="1"/>
  <c r="J110" i="3"/>
  <c r="B110" i="3"/>
  <c r="Z109" i="3"/>
  <c r="X109" i="3"/>
  <c r="N109" i="3"/>
  <c r="L109" i="3"/>
  <c r="B109" i="3"/>
  <c r="T108" i="3"/>
  <c r="Z108" i="3" s="1"/>
  <c r="P108" i="3"/>
  <c r="X108" i="3" s="1"/>
  <c r="L108" i="3"/>
  <c r="N108" i="3" s="1"/>
  <c r="H108" i="3"/>
  <c r="D108" i="3"/>
  <c r="B108" i="3"/>
  <c r="Z107" i="3"/>
  <c r="X107" i="3"/>
  <c r="V107" i="3"/>
  <c r="L107" i="3"/>
  <c r="N107" i="3" s="1"/>
  <c r="B107" i="3"/>
  <c r="X106" i="3"/>
  <c r="Z106" i="3" s="1"/>
  <c r="L106" i="3"/>
  <c r="N106" i="3" s="1"/>
  <c r="J106" i="3"/>
  <c r="B106" i="3"/>
  <c r="T105" i="3"/>
  <c r="P105" i="3"/>
  <c r="X105" i="3" s="1"/>
  <c r="Z105" i="3" s="1"/>
  <c r="J105" i="3"/>
  <c r="H105" i="3"/>
  <c r="D105" i="3"/>
  <c r="L105" i="3" s="1"/>
  <c r="N105" i="3" s="1"/>
  <c r="B105" i="3"/>
  <c r="Z104" i="3"/>
  <c r="X104" i="3"/>
  <c r="N104" i="3"/>
  <c r="L104" i="3"/>
  <c r="B104" i="3"/>
  <c r="V103" i="3"/>
  <c r="T103" i="3"/>
  <c r="P103" i="3"/>
  <c r="X103" i="3" s="1"/>
  <c r="Z103" i="3" s="1"/>
  <c r="L103" i="3"/>
  <c r="N103" i="3" s="1"/>
  <c r="H103" i="3"/>
  <c r="D103" i="3"/>
  <c r="B103" i="3"/>
  <c r="X102" i="3"/>
  <c r="Z102" i="3" s="1"/>
  <c r="V102" i="3"/>
  <c r="L102" i="3"/>
  <c r="N102" i="3" s="1"/>
  <c r="B102" i="3"/>
  <c r="X101" i="3"/>
  <c r="Z101" i="3" s="1"/>
  <c r="T101" i="3"/>
  <c r="P101" i="3"/>
  <c r="H101" i="3"/>
  <c r="D101" i="3"/>
  <c r="B101" i="3"/>
  <c r="Z100" i="3"/>
  <c r="X100" i="3"/>
  <c r="N100" i="3"/>
  <c r="L100" i="3"/>
  <c r="B100" i="3"/>
  <c r="T99" i="3"/>
  <c r="P99" i="3"/>
  <c r="H99" i="3"/>
  <c r="D99" i="3"/>
  <c r="L99" i="3" s="1"/>
  <c r="N99" i="3" s="1"/>
  <c r="B99" i="3"/>
  <c r="Z98" i="3"/>
  <c r="X98" i="3"/>
  <c r="N98" i="3"/>
  <c r="L98" i="3"/>
  <c r="J98" i="3"/>
  <c r="B98" i="3"/>
  <c r="Z97" i="3"/>
  <c r="X97" i="3"/>
  <c r="N97" i="3"/>
  <c r="L97" i="3"/>
  <c r="B97" i="3"/>
  <c r="T96" i="3"/>
  <c r="Z96" i="3" s="1"/>
  <c r="P96" i="3"/>
  <c r="X96" i="3" s="1"/>
  <c r="N96" i="3"/>
  <c r="L96" i="3"/>
  <c r="H96" i="3"/>
  <c r="D96" i="3"/>
  <c r="B96" i="3"/>
  <c r="Z95" i="3"/>
  <c r="X95" i="3"/>
  <c r="V95" i="3"/>
  <c r="L95" i="3"/>
  <c r="N95" i="3" s="1"/>
  <c r="B95" i="3"/>
  <c r="Z94" i="3"/>
  <c r="X94" i="3"/>
  <c r="N94" i="3"/>
  <c r="L94" i="3"/>
  <c r="J94" i="3"/>
  <c r="B94" i="3"/>
  <c r="T93" i="3"/>
  <c r="P93" i="3"/>
  <c r="X93" i="3" s="1"/>
  <c r="Z93" i="3" s="1"/>
  <c r="J93" i="3"/>
  <c r="H93" i="3"/>
  <c r="D93" i="3"/>
  <c r="L93" i="3" s="1"/>
  <c r="N93" i="3" s="1"/>
  <c r="B93" i="3"/>
  <c r="Z92" i="3"/>
  <c r="X92" i="3"/>
  <c r="N92" i="3"/>
  <c r="L92" i="3"/>
  <c r="B92" i="3"/>
  <c r="V91" i="3"/>
  <c r="T91" i="3"/>
  <c r="P91" i="3"/>
  <c r="X91" i="3" s="1"/>
  <c r="Z91" i="3" s="1"/>
  <c r="L91" i="3"/>
  <c r="N91" i="3" s="1"/>
  <c r="H91" i="3"/>
  <c r="D91" i="3"/>
  <c r="B91" i="3"/>
  <c r="X90" i="3"/>
  <c r="Z90" i="3" s="1"/>
  <c r="V90" i="3"/>
  <c r="L90" i="3"/>
  <c r="N90" i="3" s="1"/>
  <c r="B90" i="3"/>
  <c r="X89" i="3"/>
  <c r="Z89" i="3" s="1"/>
  <c r="T89" i="3"/>
  <c r="P89" i="3"/>
  <c r="H89" i="3"/>
  <c r="D89" i="3"/>
  <c r="B89" i="3"/>
  <c r="Z88" i="3"/>
  <c r="X88" i="3"/>
  <c r="N88" i="3"/>
  <c r="L88" i="3"/>
  <c r="B88" i="3"/>
  <c r="T87" i="3"/>
  <c r="P87" i="3"/>
  <c r="H87" i="3"/>
  <c r="D87" i="3"/>
  <c r="L87" i="3" s="1"/>
  <c r="N87" i="3" s="1"/>
  <c r="B87" i="3"/>
  <c r="Z86" i="3"/>
  <c r="X86" i="3"/>
  <c r="N86" i="3"/>
  <c r="L86" i="3"/>
  <c r="J86" i="3"/>
  <c r="B86" i="3"/>
  <c r="Z85" i="3"/>
  <c r="X85" i="3"/>
  <c r="N85" i="3"/>
  <c r="L85" i="3"/>
  <c r="B85" i="3"/>
  <c r="Z84" i="3"/>
  <c r="X84" i="3"/>
  <c r="N84" i="3"/>
  <c r="L84" i="3"/>
  <c r="B84" i="3"/>
  <c r="X83" i="3"/>
  <c r="Z83" i="3" s="1"/>
  <c r="N83" i="3"/>
  <c r="L83" i="3"/>
  <c r="J83" i="3"/>
  <c r="B83" i="3"/>
  <c r="Z82" i="3"/>
  <c r="X82" i="3"/>
  <c r="V82" i="3"/>
  <c r="N82" i="3"/>
  <c r="L82" i="3"/>
  <c r="B82" i="3"/>
  <c r="X81" i="3"/>
  <c r="Z81" i="3" s="1"/>
  <c r="N81" i="3"/>
  <c r="L81" i="3"/>
  <c r="B81" i="3"/>
  <c r="Z80" i="3"/>
  <c r="X80" i="3"/>
  <c r="N80" i="3"/>
  <c r="L80" i="3"/>
  <c r="B80" i="3"/>
  <c r="Z79" i="3"/>
  <c r="X79" i="3"/>
  <c r="V79" i="3"/>
  <c r="N79" i="3"/>
  <c r="L79" i="3"/>
  <c r="B79" i="3"/>
  <c r="X78" i="3"/>
  <c r="Z78" i="3" s="1"/>
  <c r="L78" i="3"/>
  <c r="N78" i="3" s="1"/>
  <c r="J78" i="3"/>
  <c r="B78" i="3"/>
  <c r="Z77" i="3"/>
  <c r="X77" i="3"/>
  <c r="L77" i="3"/>
  <c r="N77" i="3" s="1"/>
  <c r="B77" i="3"/>
  <c r="T76" i="3"/>
  <c r="P76" i="3"/>
  <c r="X76" i="3" s="1"/>
  <c r="Z76" i="3" s="1"/>
  <c r="L76" i="3"/>
  <c r="N76" i="3" s="1"/>
  <c r="H76" i="3"/>
  <c r="D76" i="3"/>
  <c r="B76" i="3"/>
  <c r="Z75" i="3"/>
  <c r="X75" i="3"/>
  <c r="V75" i="3"/>
  <c r="L75" i="3"/>
  <c r="N75" i="3" s="1"/>
  <c r="B75" i="3"/>
  <c r="X74" i="3"/>
  <c r="Z74" i="3" s="1"/>
  <c r="L74" i="3"/>
  <c r="N74" i="3" s="1"/>
  <c r="J74" i="3"/>
  <c r="B74" i="3"/>
  <c r="Z73" i="3"/>
  <c r="X73" i="3"/>
  <c r="L73" i="3"/>
  <c r="N73" i="3" s="1"/>
  <c r="B73" i="3"/>
  <c r="Z72" i="3"/>
  <c r="X72" i="3"/>
  <c r="N72" i="3"/>
  <c r="L72" i="3"/>
  <c r="B72" i="3"/>
  <c r="Z71" i="3"/>
  <c r="X71" i="3"/>
  <c r="N71" i="3"/>
  <c r="L71" i="3"/>
  <c r="J71" i="3"/>
  <c r="B71" i="3"/>
  <c r="X70" i="3"/>
  <c r="Z70" i="3" s="1"/>
  <c r="V70" i="3"/>
  <c r="L70" i="3"/>
  <c r="N70" i="3" s="1"/>
  <c r="B70" i="3"/>
  <c r="X69" i="3"/>
  <c r="Z69" i="3" s="1"/>
  <c r="N69" i="3"/>
  <c r="L69" i="3"/>
  <c r="B69" i="3"/>
  <c r="Z68" i="3"/>
  <c r="X68" i="3"/>
  <c r="N68" i="3"/>
  <c r="L68" i="3"/>
  <c r="B68" i="3"/>
  <c r="Z67" i="3"/>
  <c r="X67" i="3"/>
  <c r="V67" i="3"/>
  <c r="L67" i="3"/>
  <c r="N67" i="3" s="1"/>
  <c r="B67" i="3"/>
  <c r="X66" i="3"/>
  <c r="Z66" i="3" s="1"/>
  <c r="L66" i="3"/>
  <c r="N66" i="3" s="1"/>
  <c r="J66" i="3"/>
  <c r="B66" i="3"/>
  <c r="T65" i="3"/>
  <c r="P65" i="3"/>
  <c r="X65" i="3" s="1"/>
  <c r="Z65" i="3" s="1"/>
  <c r="J65" i="3"/>
  <c r="H65" i="3"/>
  <c r="D65" i="3"/>
  <c r="L65" i="3" s="1"/>
  <c r="B65" i="3"/>
  <c r="T64" i="3"/>
  <c r="P64" i="3"/>
  <c r="X64" i="3" s="1"/>
  <c r="J64" i="3"/>
  <c r="H64" i="3"/>
  <c r="D64" i="3"/>
  <c r="L64" i="3" s="1"/>
  <c r="H62" i="3"/>
  <c r="H175" i="3" s="1"/>
  <c r="Z60" i="3"/>
  <c r="X60" i="3"/>
  <c r="N60" i="3"/>
  <c r="L60" i="3"/>
  <c r="B60" i="3"/>
  <c r="Z59" i="3"/>
  <c r="X59" i="3"/>
  <c r="V59" i="3"/>
  <c r="N59" i="3"/>
  <c r="L59" i="3"/>
  <c r="B59" i="3"/>
  <c r="Z58" i="3"/>
  <c r="X58" i="3"/>
  <c r="N58" i="3"/>
  <c r="L58" i="3"/>
  <c r="J58" i="3"/>
  <c r="B58" i="3"/>
  <c r="Z57" i="3"/>
  <c r="X57" i="3"/>
  <c r="V57" i="3"/>
  <c r="N57" i="3"/>
  <c r="L57" i="3"/>
  <c r="B57" i="3"/>
  <c r="Z56" i="3"/>
  <c r="X56" i="3"/>
  <c r="N56" i="3"/>
  <c r="L56" i="3"/>
  <c r="B56" i="3"/>
  <c r="Z55" i="3"/>
  <c r="X55" i="3"/>
  <c r="N55" i="3"/>
  <c r="L55" i="3"/>
  <c r="J55" i="3"/>
  <c r="B55" i="3"/>
  <c r="Z54" i="3"/>
  <c r="X54" i="3"/>
  <c r="V54" i="3"/>
  <c r="N54" i="3"/>
  <c r="L54" i="3"/>
  <c r="B54" i="3"/>
  <c r="Z53" i="3"/>
  <c r="X53" i="3"/>
  <c r="N53" i="3"/>
  <c r="L53" i="3"/>
  <c r="J53" i="3"/>
  <c r="B53" i="3"/>
  <c r="Z52" i="3"/>
  <c r="X52" i="3"/>
  <c r="N52" i="3"/>
  <c r="L52" i="3"/>
  <c r="B52" i="3"/>
  <c r="Z51" i="3"/>
  <c r="X51" i="3"/>
  <c r="V51" i="3"/>
  <c r="N51" i="3"/>
  <c r="L51" i="3"/>
  <c r="B51" i="3"/>
  <c r="Z50" i="3"/>
  <c r="X50" i="3"/>
  <c r="N50" i="3"/>
  <c r="L50" i="3"/>
  <c r="J50" i="3"/>
  <c r="B50" i="3"/>
  <c r="Z49" i="3"/>
  <c r="X49" i="3"/>
  <c r="V49" i="3"/>
  <c r="N49" i="3"/>
  <c r="L49" i="3"/>
  <c r="B49" i="3"/>
  <c r="Z48" i="3"/>
  <c r="X48" i="3"/>
  <c r="N48" i="3"/>
  <c r="L48" i="3"/>
  <c r="B48" i="3"/>
  <c r="Z47" i="3"/>
  <c r="X47" i="3"/>
  <c r="N47" i="3"/>
  <c r="L47" i="3"/>
  <c r="J47" i="3"/>
  <c r="B47" i="3"/>
  <c r="Z46" i="3"/>
  <c r="X46" i="3"/>
  <c r="V46" i="3"/>
  <c r="N46" i="3"/>
  <c r="L46" i="3"/>
  <c r="B46" i="3"/>
  <c r="Z45" i="3"/>
  <c r="X45" i="3"/>
  <c r="N45" i="3"/>
  <c r="L45" i="3"/>
  <c r="J45" i="3"/>
  <c r="B45" i="3"/>
  <c r="Z44" i="3"/>
  <c r="X44" i="3"/>
  <c r="N44" i="3"/>
  <c r="L44" i="3"/>
  <c r="B44" i="3"/>
  <c r="Z43" i="3"/>
  <c r="X43" i="3"/>
  <c r="V43" i="3"/>
  <c r="N43" i="3"/>
  <c r="L43" i="3"/>
  <c r="B43" i="3"/>
  <c r="Z42" i="3"/>
  <c r="X42" i="3"/>
  <c r="N42" i="3"/>
  <c r="L42" i="3"/>
  <c r="J42" i="3"/>
  <c r="B42" i="3"/>
  <c r="Z41" i="3"/>
  <c r="X41" i="3"/>
  <c r="V41" i="3"/>
  <c r="N41" i="3"/>
  <c r="L41" i="3"/>
  <c r="B41" i="3"/>
  <c r="Z40" i="3"/>
  <c r="X40" i="3"/>
  <c r="N40" i="3"/>
  <c r="L40" i="3"/>
  <c r="B40" i="3"/>
  <c r="Z39" i="3"/>
  <c r="X39" i="3"/>
  <c r="N39" i="3"/>
  <c r="L39" i="3"/>
  <c r="J39" i="3"/>
  <c r="B39" i="3"/>
  <c r="Z38" i="3"/>
  <c r="X38" i="3"/>
  <c r="V38" i="3"/>
  <c r="N38" i="3"/>
  <c r="L38" i="3"/>
  <c r="B38" i="3"/>
  <c r="Z37" i="3"/>
  <c r="X37" i="3"/>
  <c r="N37" i="3"/>
  <c r="L37" i="3"/>
  <c r="J37" i="3"/>
  <c r="B37" i="3"/>
  <c r="Z36" i="3"/>
  <c r="X36" i="3"/>
  <c r="N36" i="3"/>
  <c r="L36" i="3"/>
  <c r="B36" i="3"/>
  <c r="Z35" i="3"/>
  <c r="X35" i="3"/>
  <c r="V35" i="3"/>
  <c r="N35" i="3"/>
  <c r="L35" i="3"/>
  <c r="B35" i="3"/>
  <c r="Z34" i="3"/>
  <c r="X34" i="3"/>
  <c r="N34" i="3"/>
  <c r="L34" i="3"/>
  <c r="J34" i="3"/>
  <c r="B34" i="3"/>
  <c r="Z33" i="3"/>
  <c r="X33" i="3"/>
  <c r="V33" i="3"/>
  <c r="N33" i="3"/>
  <c r="L33" i="3"/>
  <c r="B33" i="3"/>
  <c r="Z32" i="3"/>
  <c r="X32" i="3"/>
  <c r="N32" i="3"/>
  <c r="L32" i="3"/>
  <c r="B32" i="3"/>
  <c r="Z31" i="3"/>
  <c r="X31" i="3"/>
  <c r="N31" i="3"/>
  <c r="L31" i="3"/>
  <c r="J31" i="3"/>
  <c r="B31" i="3"/>
  <c r="Z30" i="3"/>
  <c r="X30" i="3"/>
  <c r="V30" i="3"/>
  <c r="N30" i="3"/>
  <c r="L30" i="3"/>
  <c r="B30" i="3"/>
  <c r="Z29" i="3"/>
  <c r="X29" i="3"/>
  <c r="N29" i="3"/>
  <c r="L29" i="3"/>
  <c r="J29" i="3"/>
  <c r="B29" i="3"/>
  <c r="Z28" i="3"/>
  <c r="X28" i="3"/>
  <c r="N28" i="3"/>
  <c r="L28" i="3"/>
  <c r="B28" i="3"/>
  <c r="Z27" i="3"/>
  <c r="X27" i="3"/>
  <c r="V27" i="3"/>
  <c r="N27" i="3"/>
  <c r="L27" i="3"/>
  <c r="B27" i="3"/>
  <c r="X26" i="3"/>
  <c r="Z26" i="3" s="1"/>
  <c r="L26" i="3"/>
  <c r="N26" i="3" s="1"/>
  <c r="J26" i="3"/>
  <c r="B26" i="3"/>
  <c r="V25" i="3"/>
  <c r="T25" i="3"/>
  <c r="P25" i="3"/>
  <c r="X25" i="3" s="1"/>
  <c r="Z25" i="3" s="1"/>
  <c r="L25" i="3"/>
  <c r="N25" i="3" s="1"/>
  <c r="J25" i="3"/>
  <c r="H25" i="3"/>
  <c r="D25" i="3"/>
  <c r="Z23" i="3"/>
  <c r="X23" i="3"/>
  <c r="P23" i="3"/>
  <c r="N23" i="3"/>
  <c r="L23" i="3"/>
  <c r="D23" i="3"/>
  <c r="B23" i="3"/>
  <c r="Z22" i="3"/>
  <c r="P22" i="3"/>
  <c r="X22" i="3" s="1"/>
  <c r="N22" i="3"/>
  <c r="D22" i="3"/>
  <c r="L22" i="3" s="1"/>
  <c r="B22" i="3"/>
  <c r="Z21" i="3"/>
  <c r="X21" i="3"/>
  <c r="P21" i="3"/>
  <c r="N21" i="3"/>
  <c r="D21" i="3"/>
  <c r="L21" i="3" s="1"/>
  <c r="B21" i="3"/>
  <c r="Z20" i="3"/>
  <c r="X20" i="3"/>
  <c r="P20" i="3"/>
  <c r="N20" i="3"/>
  <c r="L20" i="3"/>
  <c r="D20" i="3"/>
  <c r="B20" i="3"/>
  <c r="Z19" i="3"/>
  <c r="P19" i="3"/>
  <c r="X19" i="3" s="1"/>
  <c r="N19" i="3"/>
  <c r="D19" i="3"/>
  <c r="L19" i="3" s="1"/>
  <c r="B19" i="3"/>
  <c r="Z18" i="3"/>
  <c r="X18" i="3"/>
  <c r="P18" i="3"/>
  <c r="N18" i="3"/>
  <c r="L18" i="3"/>
  <c r="D18" i="3"/>
  <c r="B18" i="3"/>
  <c r="Z17" i="3"/>
  <c r="P17" i="3"/>
  <c r="X17" i="3" s="1"/>
  <c r="N17" i="3"/>
  <c r="L17" i="3"/>
  <c r="D17" i="3"/>
  <c r="B17" i="3"/>
  <c r="P16" i="3"/>
  <c r="X16" i="3" s="1"/>
  <c r="Z16" i="3" s="1"/>
  <c r="D16" i="3"/>
  <c r="L16" i="3" s="1"/>
  <c r="N16" i="3" s="1"/>
  <c r="B16" i="3"/>
  <c r="Z15" i="3"/>
  <c r="X15" i="3"/>
  <c r="P15" i="3"/>
  <c r="N15" i="3"/>
  <c r="L15" i="3"/>
  <c r="D15" i="3"/>
  <c r="B15" i="3"/>
  <c r="Z14" i="3"/>
  <c r="P14" i="3"/>
  <c r="X14" i="3" s="1"/>
  <c r="N14" i="3"/>
  <c r="D14" i="3"/>
  <c r="L14" i="3" s="1"/>
  <c r="B14" i="3"/>
  <c r="Z13" i="3"/>
  <c r="X13" i="3"/>
  <c r="P13" i="3"/>
  <c r="D13" i="3"/>
  <c r="L13" i="3" s="1"/>
  <c r="N13" i="3" s="1"/>
  <c r="B13" i="3"/>
  <c r="T12" i="3"/>
  <c r="V166" i="3" s="1"/>
  <c r="H12" i="3"/>
  <c r="J173" i="3" s="1"/>
  <c r="D12" i="3"/>
  <c r="F168" i="3" s="1"/>
  <c r="D4" i="3"/>
  <c r="L15" i="25" l="1"/>
  <c r="X21" i="25"/>
  <c r="L29" i="25"/>
  <c r="L34" i="28"/>
  <c r="L33" i="31"/>
  <c r="X20" i="32"/>
  <c r="X13" i="34"/>
  <c r="L21" i="34"/>
  <c r="L21" i="37"/>
  <c r="X25" i="37"/>
  <c r="L22" i="41"/>
  <c r="X29" i="7"/>
  <c r="X20" i="5"/>
  <c r="X13" i="7"/>
  <c r="L21" i="7"/>
  <c r="L33" i="34"/>
  <c r="X20" i="35"/>
  <c r="L13" i="93"/>
  <c r="L29" i="19"/>
  <c r="L34" i="19"/>
  <c r="X16" i="20"/>
  <c r="X22" i="25"/>
  <c r="L34" i="32"/>
  <c r="L20" i="44"/>
  <c r="X25" i="49"/>
  <c r="L16" i="50"/>
  <c r="X22" i="50"/>
  <c r="X34" i="44"/>
  <c r="X34" i="32"/>
  <c r="X16" i="95"/>
  <c r="L24" i="10"/>
  <c r="L20" i="14"/>
  <c r="X33" i="52"/>
  <c r="X22" i="53"/>
  <c r="L16" i="34"/>
  <c r="X20" i="11"/>
  <c r="L22" i="11"/>
  <c r="L13" i="20"/>
  <c r="X34" i="25"/>
  <c r="X24" i="26"/>
  <c r="X13" i="31"/>
  <c r="L15" i="34"/>
  <c r="L29" i="34"/>
  <c r="X16" i="35"/>
  <c r="L21" i="40"/>
  <c r="X25" i="40"/>
  <c r="X20" i="46"/>
  <c r="X24" i="53"/>
  <c r="X34" i="5"/>
  <c r="X34" i="38"/>
  <c r="X33" i="28"/>
  <c r="X22" i="29"/>
  <c r="L13" i="13"/>
  <c r="L33" i="43"/>
  <c r="L24" i="50"/>
  <c r="X20" i="95"/>
  <c r="L22" i="95"/>
  <c r="L29" i="49"/>
  <c r="L34" i="4"/>
  <c r="X25" i="13"/>
  <c r="X22" i="14"/>
  <c r="L33" i="16"/>
  <c r="X20" i="17"/>
  <c r="L22" i="17"/>
  <c r="X21" i="26"/>
  <c r="L34" i="26"/>
  <c r="X22" i="31"/>
  <c r="X16" i="37"/>
  <c r="L13" i="41"/>
  <c r="L24" i="93"/>
  <c r="X24" i="5"/>
  <c r="L25" i="7"/>
  <c r="X20" i="8"/>
  <c r="L16" i="10"/>
  <c r="X22" i="10"/>
  <c r="L29" i="13"/>
  <c r="L34" i="13"/>
  <c r="L16" i="17"/>
  <c r="X22" i="17"/>
  <c r="L33" i="23"/>
  <c r="X34" i="26"/>
  <c r="X20" i="50"/>
  <c r="X20" i="52"/>
  <c r="L22" i="52"/>
  <c r="X22" i="11"/>
  <c r="X21" i="14"/>
  <c r="L21" i="20"/>
  <c r="L20" i="38"/>
  <c r="L24" i="41"/>
  <c r="L13" i="47"/>
  <c r="X15" i="7"/>
  <c r="X25" i="14"/>
  <c r="L25" i="16"/>
  <c r="L25" i="38"/>
  <c r="X20" i="47"/>
  <c r="J34" i="49"/>
  <c r="X15" i="95"/>
  <c r="X13" i="35"/>
  <c r="R15" i="41"/>
  <c r="L16" i="94"/>
  <c r="L29" i="14"/>
  <c r="X29" i="41"/>
  <c r="X34" i="13"/>
  <c r="X15" i="14"/>
  <c r="X34" i="14"/>
  <c r="L15" i="17"/>
  <c r="X21" i="17"/>
  <c r="L29" i="17"/>
  <c r="L34" i="17"/>
  <c r="X15" i="19"/>
  <c r="L25" i="26"/>
  <c r="L33" i="26"/>
  <c r="L16" i="41"/>
  <c r="L33" i="41"/>
  <c r="L21" i="43"/>
  <c r="V34" i="44"/>
  <c r="X16" i="47"/>
  <c r="L25" i="50"/>
  <c r="F29" i="34"/>
  <c r="V20" i="37"/>
  <c r="X20" i="94"/>
  <c r="X25" i="23"/>
  <c r="V34" i="38"/>
  <c r="R20" i="41"/>
  <c r="R36" i="46"/>
  <c r="X25" i="4"/>
  <c r="L25" i="5"/>
  <c r="L33" i="5"/>
  <c r="L24" i="7"/>
  <c r="L21" i="8"/>
  <c r="X21" i="10"/>
  <c r="L29" i="10"/>
  <c r="L34" i="10"/>
  <c r="X13" i="11"/>
  <c r="X24" i="13"/>
  <c r="L24" i="14"/>
  <c r="X22" i="19"/>
  <c r="X34" i="20"/>
  <c r="L20" i="22"/>
  <c r="F24" i="23"/>
  <c r="X13" i="25"/>
  <c r="X34" i="28"/>
  <c r="X24" i="29"/>
  <c r="L34" i="29"/>
  <c r="L16" i="31"/>
  <c r="L29" i="35"/>
  <c r="V18" i="37"/>
  <c r="L24" i="37"/>
  <c r="L16" i="38"/>
  <c r="X34" i="40"/>
  <c r="X22" i="43"/>
  <c r="L34" i="47"/>
  <c r="X24" i="49"/>
  <c r="L21" i="50"/>
  <c r="X25" i="50"/>
  <c r="X33" i="50"/>
  <c r="X22" i="52"/>
  <c r="X29" i="93"/>
  <c r="L24" i="94"/>
  <c r="L13" i="95"/>
  <c r="J16" i="19"/>
  <c r="X29" i="22"/>
  <c r="L20" i="23"/>
  <c r="V33" i="37"/>
  <c r="X25" i="38"/>
  <c r="X16" i="46"/>
  <c r="F33" i="31"/>
  <c r="L13" i="40"/>
  <c r="L33" i="40"/>
  <c r="X15" i="41"/>
  <c r="X25" i="44"/>
  <c r="J33" i="44"/>
  <c r="D18" i="46"/>
  <c r="X29" i="47"/>
  <c r="X34" i="47"/>
  <c r="X20" i="49"/>
  <c r="L22" i="49"/>
  <c r="X24" i="4"/>
  <c r="L24" i="5"/>
  <c r="X24" i="8"/>
  <c r="L20" i="11"/>
  <c r="X22" i="13"/>
  <c r="L15" i="16"/>
  <c r="X21" i="16"/>
  <c r="L29" i="16"/>
  <c r="L34" i="16"/>
  <c r="X16" i="17"/>
  <c r="L24" i="17"/>
  <c r="X13" i="20"/>
  <c r="L13" i="29"/>
  <c r="X16" i="31"/>
  <c r="X25" i="31"/>
  <c r="L13" i="32"/>
  <c r="X20" i="37"/>
  <c r="L15" i="38"/>
  <c r="L20" i="41"/>
  <c r="X33" i="41"/>
  <c r="L24" i="44"/>
  <c r="L20" i="46"/>
  <c r="X21" i="46"/>
  <c r="L25" i="49"/>
  <c r="L34" i="52"/>
  <c r="X16" i="53"/>
  <c r="X22" i="22"/>
  <c r="X29" i="23"/>
  <c r="L21" i="25"/>
  <c r="X25" i="25"/>
  <c r="L16" i="35"/>
  <c r="V15" i="38"/>
  <c r="F16" i="46"/>
  <c r="R29" i="46"/>
  <c r="X16" i="52"/>
  <c r="R36" i="53"/>
  <c r="L34" i="94"/>
  <c r="L24" i="95"/>
  <c r="L13" i="4"/>
  <c r="L22" i="4"/>
  <c r="X29" i="4"/>
  <c r="X21" i="5"/>
  <c r="L29" i="5"/>
  <c r="L22" i="7"/>
  <c r="L25" i="10"/>
  <c r="L33" i="10"/>
  <c r="X15" i="11"/>
  <c r="X29" i="11"/>
  <c r="X34" i="11"/>
  <c r="L33" i="13"/>
  <c r="L16" i="16"/>
  <c r="L25" i="17"/>
  <c r="X13" i="19"/>
  <c r="X13" i="22"/>
  <c r="L21" i="22"/>
  <c r="X25" i="22"/>
  <c r="L16" i="23"/>
  <c r="X22" i="23"/>
  <c r="L25" i="23"/>
  <c r="L20" i="25"/>
  <c r="L24" i="25"/>
  <c r="X15" i="28"/>
  <c r="L21" i="29"/>
  <c r="L24" i="31"/>
  <c r="X22" i="32"/>
  <c r="L25" i="32"/>
  <c r="N16" i="35"/>
  <c r="V24" i="35"/>
  <c r="L29" i="37"/>
  <c r="L29" i="40"/>
  <c r="X13" i="43"/>
  <c r="L22" i="43"/>
  <c r="X24" i="43"/>
  <c r="J25" i="44"/>
  <c r="L25" i="47"/>
  <c r="X15" i="50"/>
  <c r="X13" i="53"/>
  <c r="X25" i="93"/>
  <c r="L20" i="94"/>
  <c r="X21" i="95"/>
  <c r="F25" i="19"/>
  <c r="J34" i="34"/>
  <c r="X13" i="4"/>
  <c r="X29" i="5"/>
  <c r="L16" i="7"/>
  <c r="X22" i="7"/>
  <c r="L13" i="8"/>
  <c r="X25" i="10"/>
  <c r="L13" i="11"/>
  <c r="L25" i="11"/>
  <c r="L24" i="13"/>
  <c r="L16" i="14"/>
  <c r="X13" i="17"/>
  <c r="X25" i="17"/>
  <c r="F21" i="19"/>
  <c r="L33" i="19"/>
  <c r="X16" i="23"/>
  <c r="X24" i="25"/>
  <c r="L34" i="25"/>
  <c r="L16" i="26"/>
  <c r="L13" i="28"/>
  <c r="J25" i="34"/>
  <c r="J31" i="34"/>
  <c r="X22" i="35"/>
  <c r="L25" i="35"/>
  <c r="L33" i="35"/>
  <c r="L34" i="37"/>
  <c r="X22" i="38"/>
  <c r="X15" i="40"/>
  <c r="X16" i="43"/>
  <c r="H18" i="44"/>
  <c r="H27" i="44" s="1"/>
  <c r="L21" i="46"/>
  <c r="X25" i="46"/>
  <c r="L20" i="47"/>
  <c r="L24" i="47"/>
  <c r="X33" i="47"/>
  <c r="X16" i="49"/>
  <c r="X34" i="50"/>
  <c r="L34" i="53"/>
  <c r="X34" i="94"/>
  <c r="X13" i="95"/>
  <c r="J15" i="34"/>
  <c r="D18" i="34"/>
  <c r="D27" i="34" s="1"/>
  <c r="J21" i="34"/>
  <c r="R29" i="37"/>
  <c r="N12" i="4"/>
  <c r="X25" i="7"/>
  <c r="X13" i="8"/>
  <c r="X20" i="20"/>
  <c r="F16" i="31"/>
  <c r="H18" i="32"/>
  <c r="H27" i="32" s="1"/>
  <c r="X15" i="34"/>
  <c r="X21" i="34"/>
  <c r="J18" i="35"/>
  <c r="X21" i="35"/>
  <c r="L24" i="35"/>
  <c r="X16" i="41"/>
  <c r="V15" i="44"/>
  <c r="L34" i="44"/>
  <c r="X22" i="5"/>
  <c r="L29" i="7"/>
  <c r="L34" i="7"/>
  <c r="X16" i="8"/>
  <c r="L24" i="8"/>
  <c r="L20" i="10"/>
  <c r="X16" i="11"/>
  <c r="L24" i="11"/>
  <c r="L15" i="14"/>
  <c r="L21" i="14"/>
  <c r="X15" i="16"/>
  <c r="X29" i="16"/>
  <c r="X24" i="17"/>
  <c r="X24" i="19"/>
  <c r="L25" i="20"/>
  <c r="L33" i="20"/>
  <c r="L29" i="23"/>
  <c r="L34" i="23"/>
  <c r="X16" i="25"/>
  <c r="L25" i="25"/>
  <c r="L33" i="25"/>
  <c r="L15" i="26"/>
  <c r="L22" i="29"/>
  <c r="X34" i="29"/>
  <c r="X24" i="34"/>
  <c r="L20" i="35"/>
  <c r="X22" i="37"/>
  <c r="L33" i="37"/>
  <c r="L34" i="38"/>
  <c r="X22" i="40"/>
  <c r="R16" i="41"/>
  <c r="L25" i="41"/>
  <c r="X34" i="41"/>
  <c r="L20" i="43"/>
  <c r="L24" i="43"/>
  <c r="X24" i="46"/>
  <c r="R24" i="47"/>
  <c r="X15" i="49"/>
  <c r="X16" i="50"/>
  <c r="J25" i="50"/>
  <c r="X20" i="53"/>
  <c r="L22" i="53"/>
  <c r="X34" i="93"/>
  <c r="J15" i="95"/>
  <c r="L16" i="4"/>
  <c r="L16" i="8"/>
  <c r="J21" i="14"/>
  <c r="X29" i="14"/>
  <c r="L34" i="14"/>
  <c r="J21" i="16"/>
  <c r="X33" i="16"/>
  <c r="X33" i="17"/>
  <c r="L15" i="19"/>
  <c r="X16" i="19"/>
  <c r="L21" i="19"/>
  <c r="J20" i="22"/>
  <c r="J24" i="22"/>
  <c r="J18" i="22"/>
  <c r="V22" i="25"/>
  <c r="V25" i="25"/>
  <c r="V29" i="25"/>
  <c r="V33" i="25"/>
  <c r="X33" i="25"/>
  <c r="F36" i="28"/>
  <c r="F20" i="28"/>
  <c r="F34" i="28"/>
  <c r="F31" i="28"/>
  <c r="F21" i="28"/>
  <c r="F22" i="28"/>
  <c r="D18" i="5"/>
  <c r="D27" i="5" s="1"/>
  <c r="X29" i="10"/>
  <c r="X20" i="13"/>
  <c r="L22" i="13"/>
  <c r="R36" i="22"/>
  <c r="R24" i="22"/>
  <c r="R20" i="22"/>
  <c r="X25" i="32"/>
  <c r="J18" i="40"/>
  <c r="J36" i="40"/>
  <c r="J29" i="40"/>
  <c r="J25" i="40"/>
  <c r="J15" i="40"/>
  <c r="R21" i="5"/>
  <c r="V24" i="13"/>
  <c r="V29" i="14"/>
  <c r="L20" i="16"/>
  <c r="J16" i="23"/>
  <c r="J20" i="23"/>
  <c r="N21" i="44"/>
  <c r="L21" i="44"/>
  <c r="J34" i="46"/>
  <c r="J33" i="46"/>
  <c r="N12" i="46"/>
  <c r="J36" i="52"/>
  <c r="J25" i="52"/>
  <c r="H18" i="52"/>
  <c r="J15" i="52"/>
  <c r="J16" i="52"/>
  <c r="J20" i="52"/>
  <c r="R16" i="4"/>
  <c r="V29" i="7"/>
  <c r="L12" i="10"/>
  <c r="F21" i="10"/>
  <c r="J24" i="14"/>
  <c r="L33" i="14"/>
  <c r="L20" i="19"/>
  <c r="V31" i="19"/>
  <c r="R34" i="23"/>
  <c r="R21" i="23"/>
  <c r="R18" i="23"/>
  <c r="V20" i="32"/>
  <c r="V21" i="32"/>
  <c r="V15" i="32"/>
  <c r="V31" i="32"/>
  <c r="V29" i="32"/>
  <c r="V25" i="32"/>
  <c r="V36" i="32"/>
  <c r="V33" i="32"/>
  <c r="L24" i="32"/>
  <c r="X33" i="4"/>
  <c r="X21" i="7"/>
  <c r="L33" i="7"/>
  <c r="R15" i="8"/>
  <c r="T18" i="10"/>
  <c r="Z18" i="10" s="1"/>
  <c r="X16" i="13"/>
  <c r="F15" i="14"/>
  <c r="R29" i="16"/>
  <c r="F36" i="37"/>
  <c r="F20" i="37"/>
  <c r="F16" i="37"/>
  <c r="Z25" i="47"/>
  <c r="X25" i="47"/>
  <c r="X15" i="4"/>
  <c r="J18" i="4"/>
  <c r="L21" i="4"/>
  <c r="L16" i="5"/>
  <c r="L20" i="7"/>
  <c r="R21" i="7"/>
  <c r="V36" i="10"/>
  <c r="N12" i="13"/>
  <c r="L16" i="19"/>
  <c r="X25" i="19"/>
  <c r="F33" i="19"/>
  <c r="F36" i="19"/>
  <c r="X29" i="32"/>
  <c r="V15" i="7"/>
  <c r="V25" i="7"/>
  <c r="F18" i="13"/>
  <c r="R36" i="16"/>
  <c r="J18" i="17"/>
  <c r="J20" i="29"/>
  <c r="J21" i="29"/>
  <c r="J22" i="29"/>
  <c r="J18" i="29"/>
  <c r="J27" i="29"/>
  <c r="X16" i="29"/>
  <c r="F18" i="37"/>
  <c r="L13" i="44"/>
  <c r="N13" i="44"/>
  <c r="F20" i="94"/>
  <c r="F29" i="94"/>
  <c r="F33" i="94"/>
  <c r="F22" i="94"/>
  <c r="F15" i="94"/>
  <c r="F25" i="94"/>
  <c r="L12" i="94"/>
  <c r="X22" i="94"/>
  <c r="X34" i="4"/>
  <c r="F15" i="5"/>
  <c r="J20" i="11"/>
  <c r="P18" i="13"/>
  <c r="P27" i="13" s="1"/>
  <c r="J18" i="16"/>
  <c r="X15" i="17"/>
  <c r="F24" i="17"/>
  <c r="V20" i="26"/>
  <c r="V27" i="26"/>
  <c r="V34" i="26"/>
  <c r="V21" i="26"/>
  <c r="V22" i="26"/>
  <c r="V18" i="26"/>
  <c r="N12" i="29"/>
  <c r="X25" i="29"/>
  <c r="V34" i="32"/>
  <c r="F34" i="50"/>
  <c r="F20" i="50"/>
  <c r="F21" i="50"/>
  <c r="F22" i="50"/>
  <c r="Z13" i="50"/>
  <c r="X13" i="50"/>
  <c r="V22" i="94"/>
  <c r="L25" i="94"/>
  <c r="X29" i="95"/>
  <c r="L22" i="20"/>
  <c r="F31" i="22"/>
  <c r="X29" i="25"/>
  <c r="V34" i="28"/>
  <c r="J15" i="32"/>
  <c r="F33" i="34"/>
  <c r="J29" i="35"/>
  <c r="R25" i="37"/>
  <c r="V29" i="37"/>
  <c r="V33" i="38"/>
  <c r="V36" i="38"/>
  <c r="L16" i="43"/>
  <c r="F20" i="43"/>
  <c r="R22" i="43"/>
  <c r="F15" i="46"/>
  <c r="R22" i="47"/>
  <c r="L15" i="49"/>
  <c r="R20" i="49"/>
  <c r="J27" i="49"/>
  <c r="X20" i="93"/>
  <c r="J27" i="93"/>
  <c r="X33" i="93"/>
  <c r="L25" i="95"/>
  <c r="R29" i="95"/>
  <c r="F22" i="23"/>
  <c r="L22" i="28"/>
  <c r="P18" i="29"/>
  <c r="P27" i="29" s="1"/>
  <c r="P31" i="29" s="1"/>
  <c r="R36" i="29"/>
  <c r="X15" i="32"/>
  <c r="J21" i="32"/>
  <c r="J22" i="32"/>
  <c r="J31" i="32"/>
  <c r="R24" i="37"/>
  <c r="V16" i="40"/>
  <c r="F16" i="43"/>
  <c r="X21" i="43"/>
  <c r="N12" i="44"/>
  <c r="F27" i="46"/>
  <c r="R31" i="46"/>
  <c r="R16" i="49"/>
  <c r="R36" i="49"/>
  <c r="L22" i="50"/>
  <c r="J33" i="50"/>
  <c r="J36" i="50"/>
  <c r="R24" i="53"/>
  <c r="R20" i="94"/>
  <c r="V29" i="94"/>
  <c r="F21" i="23"/>
  <c r="F29" i="23"/>
  <c r="L21" i="28"/>
  <c r="L20" i="29"/>
  <c r="J27" i="32"/>
  <c r="L12" i="34"/>
  <c r="J33" i="34"/>
  <c r="Z12" i="37"/>
  <c r="V25" i="37"/>
  <c r="V20" i="38"/>
  <c r="L24" i="38"/>
  <c r="F31" i="38"/>
  <c r="X13" i="41"/>
  <c r="R22" i="41"/>
  <c r="V21" i="44"/>
  <c r="F34" i="46"/>
  <c r="X13" i="47"/>
  <c r="J15" i="50"/>
  <c r="L13" i="52"/>
  <c r="J34" i="53"/>
  <c r="L22" i="93"/>
  <c r="X25" i="95"/>
  <c r="R18" i="28"/>
  <c r="R22" i="31"/>
  <c r="L34" i="31"/>
  <c r="X21" i="32"/>
  <c r="J34" i="32"/>
  <c r="N12" i="34"/>
  <c r="F27" i="34"/>
  <c r="X29" i="34"/>
  <c r="J36" i="34"/>
  <c r="J25" i="35"/>
  <c r="V16" i="37"/>
  <c r="N24" i="38"/>
  <c r="F27" i="38"/>
  <c r="V31" i="38"/>
  <c r="F31" i="40"/>
  <c r="L15" i="43"/>
  <c r="X20" i="43"/>
  <c r="F24" i="43"/>
  <c r="F31" i="44"/>
  <c r="L13" i="46"/>
  <c r="F18" i="46"/>
  <c r="F22" i="46"/>
  <c r="F29" i="46"/>
  <c r="F33" i="46"/>
  <c r="R20" i="47"/>
  <c r="H18" i="50"/>
  <c r="H27" i="50" s="1"/>
  <c r="R16" i="53"/>
  <c r="X12" i="94"/>
  <c r="Z20" i="94"/>
  <c r="R36" i="95"/>
  <c r="X24" i="22"/>
  <c r="X21" i="23"/>
  <c r="X34" i="23"/>
  <c r="X22" i="28"/>
  <c r="L16" i="29"/>
  <c r="R29" i="29"/>
  <c r="L20" i="31"/>
  <c r="L25" i="31"/>
  <c r="F15" i="34"/>
  <c r="J22" i="34"/>
  <c r="J27" i="34"/>
  <c r="J15" i="35"/>
  <c r="V15" i="37"/>
  <c r="R33" i="37"/>
  <c r="R36" i="37"/>
  <c r="L22" i="38"/>
  <c r="V27" i="38"/>
  <c r="R31" i="40"/>
  <c r="L34" i="40"/>
  <c r="X21" i="41"/>
  <c r="J15" i="44"/>
  <c r="V27" i="44"/>
  <c r="L33" i="44"/>
  <c r="J18" i="49"/>
  <c r="J29" i="50"/>
  <c r="X15" i="53"/>
  <c r="L21" i="93"/>
  <c r="J24" i="95"/>
  <c r="J27" i="95"/>
  <c r="X21" i="20"/>
  <c r="L29" i="20"/>
  <c r="L34" i="20"/>
  <c r="L22" i="22"/>
  <c r="L34" i="22"/>
  <c r="X20" i="23"/>
  <c r="L16" i="25"/>
  <c r="L21" i="26"/>
  <c r="X13" i="28"/>
  <c r="L16" i="28"/>
  <c r="X21" i="28"/>
  <c r="L33" i="28"/>
  <c r="X20" i="29"/>
  <c r="L24" i="29"/>
  <c r="R25" i="29"/>
  <c r="L13" i="31"/>
  <c r="F20" i="31"/>
  <c r="X34" i="31"/>
  <c r="N12" i="32"/>
  <c r="J29" i="32"/>
  <c r="X33" i="32"/>
  <c r="L25" i="34"/>
  <c r="L34" i="34"/>
  <c r="L13" i="35"/>
  <c r="X24" i="35"/>
  <c r="J33" i="35"/>
  <c r="R21" i="37"/>
  <c r="L21" i="38"/>
  <c r="F22" i="38"/>
  <c r="L29" i="38"/>
  <c r="V27" i="40"/>
  <c r="V31" i="40"/>
  <c r="F34" i="40"/>
  <c r="X25" i="41"/>
  <c r="X25" i="43"/>
  <c r="V16" i="44"/>
  <c r="F21" i="44"/>
  <c r="L29" i="44"/>
  <c r="L16" i="46"/>
  <c r="L22" i="47"/>
  <c r="R25" i="47"/>
  <c r="X13" i="49"/>
  <c r="X29" i="49"/>
  <c r="X29" i="50"/>
  <c r="X13" i="52"/>
  <c r="X21" i="52"/>
  <c r="L24" i="52"/>
  <c r="L13" i="53"/>
  <c r="R15" i="53"/>
  <c r="P18" i="53"/>
  <c r="F18" i="93"/>
  <c r="F21" i="93"/>
  <c r="R18" i="94"/>
  <c r="L21" i="94"/>
  <c r="R33" i="95"/>
  <c r="J20" i="4"/>
  <c r="J24" i="4"/>
  <c r="J22" i="4"/>
  <c r="J27" i="4"/>
  <c r="R21" i="4"/>
  <c r="L15" i="5"/>
  <c r="V36" i="11"/>
  <c r="V22" i="11"/>
  <c r="V18" i="11"/>
  <c r="V18" i="14"/>
  <c r="V25" i="14"/>
  <c r="V21" i="14"/>
  <c r="V33" i="14"/>
  <c r="V20" i="14"/>
  <c r="T18" i="14"/>
  <c r="T27" i="14" s="1"/>
  <c r="Z12" i="14"/>
  <c r="V27" i="14"/>
  <c r="V15" i="14"/>
  <c r="V36" i="14"/>
  <c r="R22" i="20"/>
  <c r="R24" i="20"/>
  <c r="R15" i="20"/>
  <c r="R25" i="20"/>
  <c r="R16" i="20"/>
  <c r="R29" i="20"/>
  <c r="R36" i="20"/>
  <c r="R33" i="20"/>
  <c r="P18" i="20"/>
  <c r="P27" i="20" s="1"/>
  <c r="R20" i="20"/>
  <c r="X33" i="11"/>
  <c r="V24" i="17"/>
  <c r="V21" i="17"/>
  <c r="L33" i="17"/>
  <c r="V22" i="22"/>
  <c r="V36" i="22"/>
  <c r="V33" i="22"/>
  <c r="V29" i="22"/>
  <c r="V25" i="22"/>
  <c r="V18" i="22"/>
  <c r="V15" i="22"/>
  <c r="T18" i="22"/>
  <c r="Z18" i="22" s="1"/>
  <c r="R34" i="4"/>
  <c r="R36" i="4"/>
  <c r="R33" i="4"/>
  <c r="R29" i="4"/>
  <c r="R22" i="4"/>
  <c r="R25" i="4"/>
  <c r="R24" i="4"/>
  <c r="V22" i="5"/>
  <c r="V33" i="5"/>
  <c r="T18" i="5"/>
  <c r="Z18" i="5" s="1"/>
  <c r="V29" i="5"/>
  <c r="V15" i="5"/>
  <c r="F36" i="4"/>
  <c r="F34" i="4"/>
  <c r="F31" i="4"/>
  <c r="N15" i="10"/>
  <c r="L15" i="10"/>
  <c r="X33" i="7"/>
  <c r="Z33" i="7"/>
  <c r="V36" i="4"/>
  <c r="V31" i="4"/>
  <c r="V27" i="4"/>
  <c r="V34" i="4"/>
  <c r="F16" i="4"/>
  <c r="R18" i="4"/>
  <c r="X33" i="13"/>
  <c r="R18" i="20"/>
  <c r="X12" i="4"/>
  <c r="F27" i="4"/>
  <c r="V25" i="5"/>
  <c r="F18" i="7"/>
  <c r="F33" i="7"/>
  <c r="F21" i="7"/>
  <c r="F29" i="7"/>
  <c r="F25" i="7"/>
  <c r="F15" i="7"/>
  <c r="F36" i="7"/>
  <c r="L12" i="7"/>
  <c r="D18" i="7"/>
  <c r="F22" i="7"/>
  <c r="R36" i="19"/>
  <c r="X12" i="19"/>
  <c r="R21" i="19"/>
  <c r="P18" i="4"/>
  <c r="P27" i="4" s="1"/>
  <c r="L20" i="4"/>
  <c r="L24" i="20"/>
  <c r="N16" i="22"/>
  <c r="L16" i="22"/>
  <c r="R15" i="4"/>
  <c r="X22" i="4"/>
  <c r="X29" i="13"/>
  <c r="R18" i="19"/>
  <c r="X16" i="5"/>
  <c r="F20" i="5"/>
  <c r="F21" i="5"/>
  <c r="Z34" i="5"/>
  <c r="J15" i="7"/>
  <c r="J25" i="7"/>
  <c r="J29" i="7"/>
  <c r="P18" i="8"/>
  <c r="P27" i="8" s="1"/>
  <c r="P31" i="8" s="1"/>
  <c r="J25" i="10"/>
  <c r="F29" i="10"/>
  <c r="L16" i="11"/>
  <c r="F22" i="11"/>
  <c r="L33" i="11"/>
  <c r="R15" i="13"/>
  <c r="R16" i="13"/>
  <c r="R22" i="13"/>
  <c r="L25" i="13"/>
  <c r="F20" i="14"/>
  <c r="F25" i="14"/>
  <c r="J36" i="14"/>
  <c r="R18" i="16"/>
  <c r="N25" i="16"/>
  <c r="X20" i="19"/>
  <c r="V25" i="19"/>
  <c r="X33" i="19"/>
  <c r="X34" i="19"/>
  <c r="J27" i="20"/>
  <c r="L12" i="22"/>
  <c r="F20" i="22"/>
  <c r="F22" i="22"/>
  <c r="V36" i="23"/>
  <c r="V24" i="23"/>
  <c r="V15" i="23"/>
  <c r="V27" i="23"/>
  <c r="V33" i="23"/>
  <c r="T18" i="23"/>
  <c r="T27" i="23" s="1"/>
  <c r="V22" i="23"/>
  <c r="F21" i="25"/>
  <c r="V36" i="28"/>
  <c r="V21" i="28"/>
  <c r="V20" i="28"/>
  <c r="V18" i="28"/>
  <c r="R27" i="28"/>
  <c r="V31" i="28"/>
  <c r="N15" i="32"/>
  <c r="R34" i="34"/>
  <c r="R25" i="34"/>
  <c r="R21" i="34"/>
  <c r="X12" i="34"/>
  <c r="R33" i="34"/>
  <c r="R16" i="34"/>
  <c r="R15" i="34"/>
  <c r="R36" i="34"/>
  <c r="P18" i="34"/>
  <c r="X33" i="34"/>
  <c r="F29" i="35"/>
  <c r="L12" i="5"/>
  <c r="R16" i="5"/>
  <c r="F22" i="5"/>
  <c r="X25" i="5"/>
  <c r="F33" i="5"/>
  <c r="L34" i="5"/>
  <c r="J36" i="5"/>
  <c r="X16" i="7"/>
  <c r="J33" i="7"/>
  <c r="Z12" i="8"/>
  <c r="J16" i="8"/>
  <c r="R18" i="8"/>
  <c r="L22" i="8"/>
  <c r="V15" i="10"/>
  <c r="D18" i="10"/>
  <c r="V33" i="10"/>
  <c r="F36" i="10"/>
  <c r="L21" i="11"/>
  <c r="R24" i="13"/>
  <c r="L12" i="14"/>
  <c r="X16" i="14"/>
  <c r="F21" i="14"/>
  <c r="F27" i="14"/>
  <c r="J33" i="14"/>
  <c r="F34" i="14"/>
  <c r="L21" i="16"/>
  <c r="X25" i="16"/>
  <c r="R27" i="17"/>
  <c r="R31" i="17"/>
  <c r="V15" i="19"/>
  <c r="F27" i="19"/>
  <c r="V29" i="19"/>
  <c r="V22" i="20"/>
  <c r="N12" i="22"/>
  <c r="D18" i="22"/>
  <c r="F24" i="22"/>
  <c r="F29" i="22"/>
  <c r="X33" i="22"/>
  <c r="X15" i="23"/>
  <c r="V21" i="23"/>
  <c r="J25" i="23"/>
  <c r="F15" i="25"/>
  <c r="F16" i="25"/>
  <c r="L13" i="26"/>
  <c r="Z12" i="28"/>
  <c r="X16" i="28"/>
  <c r="J20" i="28"/>
  <c r="V27" i="28"/>
  <c r="R20" i="29"/>
  <c r="F34" i="31"/>
  <c r="F29" i="31"/>
  <c r="F22" i="31"/>
  <c r="F15" i="31"/>
  <c r="F36" i="31"/>
  <c r="F24" i="31"/>
  <c r="F18" i="31"/>
  <c r="D18" i="31"/>
  <c r="V20" i="31"/>
  <c r="X21" i="31"/>
  <c r="R31" i="31"/>
  <c r="V31" i="34"/>
  <c r="T18" i="34"/>
  <c r="R20" i="34"/>
  <c r="X25" i="34"/>
  <c r="X15" i="35"/>
  <c r="L22" i="35"/>
  <c r="F22" i="37"/>
  <c r="D18" i="37"/>
  <c r="D27" i="37" s="1"/>
  <c r="L12" i="37"/>
  <c r="F15" i="37"/>
  <c r="F33" i="37"/>
  <c r="F29" i="37"/>
  <c r="F25" i="37"/>
  <c r="L20" i="5"/>
  <c r="F34" i="5"/>
  <c r="R36" i="5"/>
  <c r="X20" i="7"/>
  <c r="X34" i="7"/>
  <c r="N16" i="8"/>
  <c r="V18" i="8"/>
  <c r="F22" i="8"/>
  <c r="L33" i="8"/>
  <c r="X34" i="8"/>
  <c r="F15" i="10"/>
  <c r="H18" i="10"/>
  <c r="N18" i="10" s="1"/>
  <c r="J29" i="10"/>
  <c r="F33" i="10"/>
  <c r="J36" i="10"/>
  <c r="F21" i="11"/>
  <c r="X13" i="13"/>
  <c r="X15" i="13"/>
  <c r="R20" i="13"/>
  <c r="R25" i="13"/>
  <c r="R29" i="13"/>
  <c r="R33" i="13"/>
  <c r="R36" i="13"/>
  <c r="J25" i="14"/>
  <c r="L22" i="16"/>
  <c r="X24" i="16"/>
  <c r="R25" i="16"/>
  <c r="H18" i="17"/>
  <c r="H27" i="17" s="1"/>
  <c r="L12" i="19"/>
  <c r="D18" i="19"/>
  <c r="D27" i="19" s="1"/>
  <c r="V21" i="19"/>
  <c r="V22" i="19"/>
  <c r="V27" i="19"/>
  <c r="F31" i="19"/>
  <c r="V33" i="19"/>
  <c r="V34" i="19"/>
  <c r="F15" i="22"/>
  <c r="F16" i="22"/>
  <c r="F18" i="22"/>
  <c r="J21" i="22"/>
  <c r="J22" i="22"/>
  <c r="F25" i="22"/>
  <c r="L13" i="23"/>
  <c r="R22" i="25"/>
  <c r="F33" i="25"/>
  <c r="R18" i="26"/>
  <c r="L22" i="26"/>
  <c r="L25" i="28"/>
  <c r="L29" i="28"/>
  <c r="X15" i="29"/>
  <c r="J25" i="31"/>
  <c r="H18" i="31"/>
  <c r="F21" i="32"/>
  <c r="F18" i="32"/>
  <c r="F22" i="35"/>
  <c r="F24" i="35"/>
  <c r="L16" i="37"/>
  <c r="X33" i="37"/>
  <c r="R36" i="38"/>
  <c r="R18" i="38"/>
  <c r="R21" i="25"/>
  <c r="F29" i="25"/>
  <c r="F20" i="26"/>
  <c r="F22" i="26"/>
  <c r="F27" i="26"/>
  <c r="F34" i="26"/>
  <c r="F31" i="26"/>
  <c r="L29" i="26"/>
  <c r="T18" i="28"/>
  <c r="Z18" i="28" s="1"/>
  <c r="V16" i="28"/>
  <c r="V22" i="28"/>
  <c r="X13" i="29"/>
  <c r="X33" i="29"/>
  <c r="R27" i="31"/>
  <c r="R20" i="31"/>
  <c r="L15" i="31"/>
  <c r="L22" i="31"/>
  <c r="R34" i="31"/>
  <c r="L34" i="35"/>
  <c r="N12" i="37"/>
  <c r="Z13" i="37"/>
  <c r="X13" i="37"/>
  <c r="J15" i="5"/>
  <c r="H18" i="5"/>
  <c r="H27" i="5" s="1"/>
  <c r="H31" i="5" s="1"/>
  <c r="R20" i="5"/>
  <c r="Z15" i="7"/>
  <c r="Z25" i="7"/>
  <c r="Z29" i="7"/>
  <c r="V33" i="7"/>
  <c r="L20" i="8"/>
  <c r="J15" i="10"/>
  <c r="J33" i="10"/>
  <c r="R24" i="11"/>
  <c r="L16" i="13"/>
  <c r="J18" i="13"/>
  <c r="F24" i="13"/>
  <c r="D18" i="14"/>
  <c r="D27" i="14" s="1"/>
  <c r="X20" i="14"/>
  <c r="F29" i="14"/>
  <c r="X33" i="14"/>
  <c r="R16" i="16"/>
  <c r="J27" i="16"/>
  <c r="R33" i="16"/>
  <c r="F16" i="17"/>
  <c r="F21" i="17"/>
  <c r="F22" i="17"/>
  <c r="J25" i="17"/>
  <c r="J29" i="17"/>
  <c r="J33" i="17"/>
  <c r="R34" i="17"/>
  <c r="F15" i="19"/>
  <c r="L24" i="19"/>
  <c r="F29" i="19"/>
  <c r="F34" i="19"/>
  <c r="V36" i="19"/>
  <c r="L15" i="20"/>
  <c r="J16" i="20"/>
  <c r="L20" i="20"/>
  <c r="R18" i="22"/>
  <c r="R21" i="22"/>
  <c r="R22" i="22"/>
  <c r="X22" i="26"/>
  <c r="V18" i="29"/>
  <c r="F34" i="35"/>
  <c r="F16" i="35"/>
  <c r="F36" i="35"/>
  <c r="F18" i="35"/>
  <c r="F15" i="35"/>
  <c r="F20" i="35"/>
  <c r="F21" i="35"/>
  <c r="X29" i="37"/>
  <c r="X12" i="38"/>
  <c r="L13" i="5"/>
  <c r="F16" i="5"/>
  <c r="J18" i="5"/>
  <c r="F25" i="5"/>
  <c r="F27" i="5"/>
  <c r="X33" i="5"/>
  <c r="L15" i="7"/>
  <c r="H18" i="7"/>
  <c r="H27" i="7" s="1"/>
  <c r="V21" i="7"/>
  <c r="V22" i="7"/>
  <c r="N20" i="8"/>
  <c r="X22" i="8"/>
  <c r="R24" i="8"/>
  <c r="V25" i="10"/>
  <c r="J22" i="13"/>
  <c r="J27" i="13"/>
  <c r="J31" i="13"/>
  <c r="J15" i="14"/>
  <c r="H18" i="14"/>
  <c r="F31" i="14"/>
  <c r="R15" i="16"/>
  <c r="R20" i="16"/>
  <c r="R21" i="16"/>
  <c r="V27" i="16"/>
  <c r="L13" i="17"/>
  <c r="J15" i="17"/>
  <c r="F20" i="17"/>
  <c r="F22" i="25"/>
  <c r="F24" i="25"/>
  <c r="F20" i="25"/>
  <c r="L12" i="25"/>
  <c r="L24" i="28"/>
  <c r="R22" i="29"/>
  <c r="R18" i="29"/>
  <c r="R33" i="29"/>
  <c r="R16" i="29"/>
  <c r="R15" i="29"/>
  <c r="R24" i="29"/>
  <c r="X29" i="29"/>
  <c r="F21" i="31"/>
  <c r="L29" i="31"/>
  <c r="J33" i="31"/>
  <c r="L16" i="32"/>
  <c r="R29" i="34"/>
  <c r="L20" i="37"/>
  <c r="T18" i="7"/>
  <c r="T27" i="7" s="1"/>
  <c r="J36" i="7"/>
  <c r="V22" i="8"/>
  <c r="F25" i="10"/>
  <c r="F18" i="11"/>
  <c r="L20" i="13"/>
  <c r="J24" i="13"/>
  <c r="F16" i="14"/>
  <c r="J29" i="14"/>
  <c r="V31" i="16"/>
  <c r="J36" i="17"/>
  <c r="F22" i="19"/>
  <c r="J20" i="20"/>
  <c r="X24" i="20"/>
  <c r="F21" i="22"/>
  <c r="F36" i="22"/>
  <c r="V25" i="23"/>
  <c r="J20" i="25"/>
  <c r="J24" i="25"/>
  <c r="D18" i="25"/>
  <c r="D27" i="25" s="1"/>
  <c r="F36" i="25"/>
  <c r="H18" i="28"/>
  <c r="H27" i="28" s="1"/>
  <c r="J15" i="28"/>
  <c r="D18" i="35"/>
  <c r="L15" i="35"/>
  <c r="F33" i="35"/>
  <c r="P18" i="37"/>
  <c r="X15" i="37"/>
  <c r="J24" i="37"/>
  <c r="X13" i="5"/>
  <c r="X15" i="5"/>
  <c r="F24" i="5"/>
  <c r="F29" i="5"/>
  <c r="F31" i="5"/>
  <c r="V36" i="7"/>
  <c r="F18" i="8"/>
  <c r="Z22" i="8"/>
  <c r="X13" i="10"/>
  <c r="X15" i="10"/>
  <c r="X16" i="10"/>
  <c r="X20" i="10"/>
  <c r="V21" i="10"/>
  <c r="V29" i="10"/>
  <c r="X33" i="10"/>
  <c r="R34" i="10"/>
  <c r="R18" i="11"/>
  <c r="L34" i="11"/>
  <c r="J34" i="13"/>
  <c r="F33" i="14"/>
  <c r="F36" i="14"/>
  <c r="P18" i="16"/>
  <c r="P27" i="16" s="1"/>
  <c r="X22" i="16"/>
  <c r="X21" i="19"/>
  <c r="X29" i="19"/>
  <c r="X15" i="22"/>
  <c r="F27" i="22"/>
  <c r="F33" i="22"/>
  <c r="T18" i="25"/>
  <c r="T27" i="25" s="1"/>
  <c r="X12" i="26"/>
  <c r="R31" i="28"/>
  <c r="X12" i="29"/>
  <c r="R16" i="31"/>
  <c r="L20" i="34"/>
  <c r="J22" i="37"/>
  <c r="R31" i="44"/>
  <c r="R34" i="44"/>
  <c r="X12" i="44"/>
  <c r="V34" i="50"/>
  <c r="V22" i="50"/>
  <c r="V21" i="50"/>
  <c r="Z12" i="50"/>
  <c r="V16" i="50"/>
  <c r="V20" i="50"/>
  <c r="Z15" i="93"/>
  <c r="X15" i="93"/>
  <c r="L12" i="23"/>
  <c r="L15" i="23"/>
  <c r="F27" i="23"/>
  <c r="V15" i="25"/>
  <c r="Z12" i="26"/>
  <c r="X20" i="31"/>
  <c r="P18" i="32"/>
  <c r="R27" i="32"/>
  <c r="R33" i="32"/>
  <c r="F25" i="34"/>
  <c r="F34" i="34"/>
  <c r="R18" i="37"/>
  <c r="X16" i="38"/>
  <c r="F15" i="23"/>
  <c r="Z12" i="25"/>
  <c r="V16" i="25"/>
  <c r="X20" i="25"/>
  <c r="X20" i="26"/>
  <c r="V31" i="26"/>
  <c r="L20" i="28"/>
  <c r="F27" i="28"/>
  <c r="X15" i="31"/>
  <c r="V18" i="32"/>
  <c r="L21" i="32"/>
  <c r="L22" i="32"/>
  <c r="J25" i="32"/>
  <c r="V27" i="32"/>
  <c r="F24" i="34"/>
  <c r="J29" i="34"/>
  <c r="F31" i="34"/>
  <c r="H18" i="35"/>
  <c r="X25" i="35"/>
  <c r="X29" i="35"/>
  <c r="X33" i="35"/>
  <c r="J36" i="35"/>
  <c r="R16" i="37"/>
  <c r="T18" i="37"/>
  <c r="Z18" i="37" s="1"/>
  <c r="R20" i="37"/>
  <c r="X21" i="37"/>
  <c r="R22" i="37"/>
  <c r="L13" i="38"/>
  <c r="X15" i="38"/>
  <c r="V16" i="38"/>
  <c r="V21" i="38"/>
  <c r="X21" i="40"/>
  <c r="X20" i="41"/>
  <c r="J21" i="43"/>
  <c r="J24" i="43"/>
  <c r="J18" i="43"/>
  <c r="L25" i="43"/>
  <c r="L22" i="44"/>
  <c r="R27" i="44"/>
  <c r="Z15" i="46"/>
  <c r="X15" i="46"/>
  <c r="X24" i="37"/>
  <c r="X34" i="37"/>
  <c r="L24" i="40"/>
  <c r="R16" i="43"/>
  <c r="R15" i="43"/>
  <c r="R24" i="43"/>
  <c r="R18" i="43"/>
  <c r="J18" i="47"/>
  <c r="J22" i="47"/>
  <c r="J20" i="47"/>
  <c r="J16" i="47"/>
  <c r="J27" i="47"/>
  <c r="J34" i="47"/>
  <c r="N12" i="47"/>
  <c r="J20" i="93"/>
  <c r="J33" i="93"/>
  <c r="J29" i="93"/>
  <c r="J34" i="93"/>
  <c r="J25" i="93"/>
  <c r="H18" i="93"/>
  <c r="N18" i="93" s="1"/>
  <c r="J31" i="93"/>
  <c r="N12" i="93"/>
  <c r="J22" i="93"/>
  <c r="J15" i="93"/>
  <c r="F20" i="38"/>
  <c r="F36" i="38"/>
  <c r="F33" i="38"/>
  <c r="F34" i="38"/>
  <c r="F29" i="38"/>
  <c r="X33" i="38"/>
  <c r="V21" i="40"/>
  <c r="F21" i="41"/>
  <c r="F24" i="41"/>
  <c r="L34" i="41"/>
  <c r="Z34" i="95"/>
  <c r="X34" i="95"/>
  <c r="J36" i="41"/>
  <c r="J24" i="41"/>
  <c r="J18" i="41"/>
  <c r="L29" i="43"/>
  <c r="X21" i="49"/>
  <c r="X16" i="94"/>
  <c r="Z16" i="94"/>
  <c r="V34" i="95"/>
  <c r="V18" i="95"/>
  <c r="V21" i="95"/>
  <c r="V22" i="95"/>
  <c r="Z12" i="95"/>
  <c r="V16" i="95"/>
  <c r="V24" i="40"/>
  <c r="X12" i="40"/>
  <c r="J22" i="41"/>
  <c r="X24" i="41"/>
  <c r="F18" i="52"/>
  <c r="F31" i="52"/>
  <c r="F27" i="52"/>
  <c r="F22" i="52"/>
  <c r="F21" i="52"/>
  <c r="F34" i="52"/>
  <c r="X34" i="22"/>
  <c r="X13" i="23"/>
  <c r="X33" i="23"/>
  <c r="X15" i="25"/>
  <c r="V36" i="25"/>
  <c r="L20" i="26"/>
  <c r="F15" i="28"/>
  <c r="F18" i="28"/>
  <c r="X20" i="28"/>
  <c r="X25" i="28"/>
  <c r="J34" i="29"/>
  <c r="T18" i="32"/>
  <c r="T27" i="32" s="1"/>
  <c r="X16" i="32"/>
  <c r="V22" i="32"/>
  <c r="J33" i="32"/>
  <c r="J36" i="32"/>
  <c r="H18" i="34"/>
  <c r="J18" i="34"/>
  <c r="X22" i="34"/>
  <c r="F36" i="34"/>
  <c r="R15" i="37"/>
  <c r="V36" i="37"/>
  <c r="V24" i="38"/>
  <c r="Z12" i="38"/>
  <c r="F15" i="38"/>
  <c r="V25" i="38"/>
  <c r="V29" i="38"/>
  <c r="Z12" i="40"/>
  <c r="F21" i="40"/>
  <c r="L22" i="40"/>
  <c r="F27" i="40"/>
  <c r="X22" i="41"/>
  <c r="R24" i="41"/>
  <c r="L24" i="53"/>
  <c r="V20" i="95"/>
  <c r="L33" i="38"/>
  <c r="H18" i="40"/>
  <c r="H27" i="40" s="1"/>
  <c r="V24" i="41"/>
  <c r="L13" i="43"/>
  <c r="F34" i="44"/>
  <c r="Z34" i="44"/>
  <c r="J18" i="46"/>
  <c r="R20" i="46"/>
  <c r="R21" i="46"/>
  <c r="L25" i="46"/>
  <c r="J27" i="46"/>
  <c r="X34" i="46"/>
  <c r="R16" i="47"/>
  <c r="L21" i="47"/>
  <c r="R36" i="47"/>
  <c r="R29" i="49"/>
  <c r="X33" i="49"/>
  <c r="J24" i="50"/>
  <c r="X15" i="52"/>
  <c r="L25" i="52"/>
  <c r="V27" i="52"/>
  <c r="V31" i="52"/>
  <c r="J27" i="53"/>
  <c r="J31" i="53"/>
  <c r="L20" i="93"/>
  <c r="T18" i="94"/>
  <c r="X21" i="94"/>
  <c r="X24" i="94"/>
  <c r="F36" i="94"/>
  <c r="R15" i="95"/>
  <c r="X22" i="95"/>
  <c r="J31" i="95"/>
  <c r="J34" i="95"/>
  <c r="L20" i="40"/>
  <c r="J21" i="40"/>
  <c r="X29" i="40"/>
  <c r="J33" i="40"/>
  <c r="X33" i="43"/>
  <c r="Z12" i="44"/>
  <c r="L15" i="44"/>
  <c r="L16" i="44"/>
  <c r="J21" i="44"/>
  <c r="V25" i="44"/>
  <c r="J29" i="44"/>
  <c r="J36" i="44"/>
  <c r="X13" i="46"/>
  <c r="R15" i="46"/>
  <c r="R18" i="46"/>
  <c r="F25" i="46"/>
  <c r="L29" i="46"/>
  <c r="F31" i="46"/>
  <c r="R34" i="46"/>
  <c r="R15" i="47"/>
  <c r="N21" i="47"/>
  <c r="X22" i="47"/>
  <c r="X24" i="47"/>
  <c r="R29" i="47"/>
  <c r="R21" i="49"/>
  <c r="R33" i="49"/>
  <c r="X21" i="50"/>
  <c r="V22" i="52"/>
  <c r="L29" i="52"/>
  <c r="L33" i="52"/>
  <c r="J18" i="53"/>
  <c r="X16" i="93"/>
  <c r="N20" i="93"/>
  <c r="X13" i="94"/>
  <c r="V15" i="94"/>
  <c r="R16" i="94"/>
  <c r="R21" i="94"/>
  <c r="R24" i="94"/>
  <c r="V33" i="94"/>
  <c r="V36" i="94"/>
  <c r="X12" i="95"/>
  <c r="R22" i="95"/>
  <c r="X24" i="95"/>
  <c r="L33" i="95"/>
  <c r="X20" i="38"/>
  <c r="X21" i="38"/>
  <c r="X24" i="38"/>
  <c r="X29" i="38"/>
  <c r="L15" i="40"/>
  <c r="L16" i="40"/>
  <c r="L25" i="40"/>
  <c r="R27" i="40"/>
  <c r="X33" i="40"/>
  <c r="P18" i="41"/>
  <c r="P27" i="41" s="1"/>
  <c r="P31" i="41" s="1"/>
  <c r="N15" i="44"/>
  <c r="X16" i="44"/>
  <c r="L25" i="44"/>
  <c r="F27" i="44"/>
  <c r="X29" i="44"/>
  <c r="R16" i="46"/>
  <c r="F20" i="46"/>
  <c r="L24" i="46"/>
  <c r="J25" i="46"/>
  <c r="L33" i="46"/>
  <c r="R15" i="49"/>
  <c r="J31" i="49"/>
  <c r="L15" i="50"/>
  <c r="F16" i="50"/>
  <c r="L33" i="50"/>
  <c r="L20" i="52"/>
  <c r="J29" i="52"/>
  <c r="J33" i="52"/>
  <c r="J15" i="53"/>
  <c r="V18" i="53"/>
  <c r="X34" i="53"/>
  <c r="X13" i="93"/>
  <c r="X22" i="93"/>
  <c r="L34" i="93"/>
  <c r="V25" i="94"/>
  <c r="L33" i="94"/>
  <c r="L29" i="95"/>
  <c r="X33" i="95"/>
  <c r="X29" i="43"/>
  <c r="X15" i="44"/>
  <c r="V20" i="44"/>
  <c r="X21" i="44"/>
  <c r="X22" i="44"/>
  <c r="J27" i="44"/>
  <c r="X33" i="44"/>
  <c r="L16" i="47"/>
  <c r="R18" i="47"/>
  <c r="L34" i="49"/>
  <c r="L20" i="50"/>
  <c r="L29" i="50"/>
  <c r="L15" i="52"/>
  <c r="L16" i="52"/>
  <c r="X25" i="52"/>
  <c r="L21" i="53"/>
  <c r="J22" i="53"/>
  <c r="R25" i="53"/>
  <c r="R29" i="53"/>
  <c r="R33" i="53"/>
  <c r="V21" i="93"/>
  <c r="L29" i="94"/>
  <c r="L15" i="95"/>
  <c r="L16" i="95"/>
  <c r="P18" i="95"/>
  <c r="P27" i="95" s="1"/>
  <c r="L13" i="50"/>
  <c r="L34" i="46"/>
  <c r="P18" i="49"/>
  <c r="P27" i="49" s="1"/>
  <c r="L24" i="49"/>
  <c r="L33" i="49"/>
  <c r="N12" i="53"/>
  <c r="X25" i="53"/>
  <c r="X29" i="53"/>
  <c r="X33" i="53"/>
  <c r="V18" i="93"/>
  <c r="T18" i="44"/>
  <c r="T27" i="44" s="1"/>
  <c r="T31" i="44" s="1"/>
  <c r="V31" i="44"/>
  <c r="L15" i="46"/>
  <c r="L22" i="46"/>
  <c r="R33" i="47"/>
  <c r="J15" i="49"/>
  <c r="L21" i="49"/>
  <c r="R25" i="49"/>
  <c r="V21" i="52"/>
  <c r="R20" i="53"/>
  <c r="L16" i="93"/>
  <c r="F40" i="30"/>
  <c r="H179" i="3"/>
  <c r="J179" i="3" s="1"/>
  <c r="N65" i="3"/>
  <c r="N64" i="3"/>
  <c r="N156" i="3"/>
  <c r="Z139" i="3"/>
  <c r="N153" i="3"/>
  <c r="Z64" i="3"/>
  <c r="N133" i="3"/>
  <c r="Z156" i="3"/>
  <c r="D31" i="5"/>
  <c r="N27" i="5"/>
  <c r="F32" i="3"/>
  <c r="F40" i="3"/>
  <c r="F84" i="3"/>
  <c r="F88" i="3"/>
  <c r="F112" i="3"/>
  <c r="R24" i="14"/>
  <c r="R18" i="14"/>
  <c r="R36" i="14"/>
  <c r="R33" i="14"/>
  <c r="R29" i="14"/>
  <c r="R25" i="14"/>
  <c r="P18" i="14"/>
  <c r="R15" i="14"/>
  <c r="R22" i="14"/>
  <c r="X12" i="14"/>
  <c r="R20" i="14"/>
  <c r="R16" i="14"/>
  <c r="V28" i="3"/>
  <c r="J32" i="3"/>
  <c r="F33" i="3"/>
  <c r="V36" i="3"/>
  <c r="J40" i="3"/>
  <c r="F41" i="3"/>
  <c r="V44" i="3"/>
  <c r="J48" i="3"/>
  <c r="F49" i="3"/>
  <c r="V52" i="3"/>
  <c r="J56" i="3"/>
  <c r="F57" i="3"/>
  <c r="V60" i="3"/>
  <c r="F64" i="3"/>
  <c r="V64" i="3"/>
  <c r="V68" i="3"/>
  <c r="J72" i="3"/>
  <c r="F73" i="3"/>
  <c r="F77" i="3"/>
  <c r="V80" i="3"/>
  <c r="J84" i="3"/>
  <c r="F85" i="3"/>
  <c r="J88" i="3"/>
  <c r="V92" i="3"/>
  <c r="F97" i="3"/>
  <c r="J100" i="3"/>
  <c r="V104" i="3"/>
  <c r="F109" i="3"/>
  <c r="J112" i="3"/>
  <c r="V116" i="3"/>
  <c r="J120" i="3"/>
  <c r="V124" i="3"/>
  <c r="F128" i="3"/>
  <c r="V128" i="3"/>
  <c r="J132" i="3"/>
  <c r="J136" i="3"/>
  <c r="F137" i="3"/>
  <c r="J140" i="3"/>
  <c r="F141" i="3"/>
  <c r="J144" i="3"/>
  <c r="F145" i="3"/>
  <c r="V148" i="3"/>
  <c r="J152" i="3"/>
  <c r="F156" i="3"/>
  <c r="V156" i="3"/>
  <c r="J158" i="3"/>
  <c r="V160" i="3"/>
  <c r="J162" i="3"/>
  <c r="F166" i="3"/>
  <c r="J171" i="3"/>
  <c r="V172" i="3"/>
  <c r="J15" i="4"/>
  <c r="H18" i="4"/>
  <c r="F21" i="4"/>
  <c r="V21" i="4"/>
  <c r="J25" i="4"/>
  <c r="R27" i="4"/>
  <c r="J29" i="4"/>
  <c r="R31" i="4"/>
  <c r="J33" i="4"/>
  <c r="J36" i="4"/>
  <c r="N12" i="5"/>
  <c r="F18" i="5"/>
  <c r="V18" i="5"/>
  <c r="J22" i="5"/>
  <c r="R24" i="5"/>
  <c r="F31" i="6"/>
  <c r="F28" i="6"/>
  <c r="F22" i="6"/>
  <c r="F18" i="6"/>
  <c r="F14" i="6"/>
  <c r="F29" i="6"/>
  <c r="F26" i="6"/>
  <c r="F20" i="6"/>
  <c r="F16" i="6"/>
  <c r="F24" i="6"/>
  <c r="D16" i="6"/>
  <c r="Z28" i="6"/>
  <c r="L29" i="8"/>
  <c r="Z19" i="9"/>
  <c r="J26" i="9"/>
  <c r="J32" i="9"/>
  <c r="J38" i="9"/>
  <c r="Z55" i="9"/>
  <c r="Z63" i="9"/>
  <c r="Z73" i="9"/>
  <c r="P99" i="9"/>
  <c r="R21" i="10"/>
  <c r="L22" i="10"/>
  <c r="X21" i="11"/>
  <c r="X25" i="11"/>
  <c r="X97" i="12"/>
  <c r="Z97" i="12" s="1"/>
  <c r="Z113" i="12"/>
  <c r="J118" i="12"/>
  <c r="Z131" i="12"/>
  <c r="N139" i="12"/>
  <c r="Z151" i="12"/>
  <c r="L15" i="13"/>
  <c r="F21" i="15"/>
  <c r="R24" i="15"/>
  <c r="F28" i="15"/>
  <c r="R30" i="15"/>
  <c r="F42" i="15"/>
  <c r="R56" i="15"/>
  <c r="F88" i="15"/>
  <c r="L96" i="15"/>
  <c r="N96" i="15" s="1"/>
  <c r="R101" i="15"/>
  <c r="R114" i="15"/>
  <c r="R118" i="15"/>
  <c r="F121" i="15"/>
  <c r="P56" i="18"/>
  <c r="R65" i="18"/>
  <c r="L95" i="18"/>
  <c r="N95" i="18" s="1"/>
  <c r="X83" i="21"/>
  <c r="Z83" i="21" s="1"/>
  <c r="F36" i="30"/>
  <c r="F21" i="16"/>
  <c r="F18" i="16"/>
  <c r="F22" i="16"/>
  <c r="F20" i="16"/>
  <c r="F16" i="16"/>
  <c r="F34" i="16"/>
  <c r="F31" i="16"/>
  <c r="F27" i="16"/>
  <c r="F36" i="16"/>
  <c r="F24" i="16"/>
  <c r="D18" i="16"/>
  <c r="F15" i="16"/>
  <c r="L12" i="16"/>
  <c r="F25" i="16"/>
  <c r="N53" i="30"/>
  <c r="L53" i="30"/>
  <c r="L12" i="3"/>
  <c r="N12" i="3" s="1"/>
  <c r="F26" i="3"/>
  <c r="V29" i="3"/>
  <c r="J33" i="3"/>
  <c r="F34" i="3"/>
  <c r="V37" i="3"/>
  <c r="J41" i="3"/>
  <c r="F42" i="3"/>
  <c r="V45" i="3"/>
  <c r="J49" i="3"/>
  <c r="F50" i="3"/>
  <c r="V53" i="3"/>
  <c r="J57" i="3"/>
  <c r="F58" i="3"/>
  <c r="F66" i="3"/>
  <c r="V69" i="3"/>
  <c r="J73" i="3"/>
  <c r="F74" i="3"/>
  <c r="J77" i="3"/>
  <c r="F78" i="3"/>
  <c r="V81" i="3"/>
  <c r="J85" i="3"/>
  <c r="F86" i="3"/>
  <c r="F89" i="3"/>
  <c r="V89" i="3"/>
  <c r="J91" i="3"/>
  <c r="F94" i="3"/>
  <c r="J97" i="3"/>
  <c r="F98" i="3"/>
  <c r="F101" i="3"/>
  <c r="V101" i="3"/>
  <c r="J103" i="3"/>
  <c r="F106" i="3"/>
  <c r="J109" i="3"/>
  <c r="F110" i="3"/>
  <c r="F113" i="3"/>
  <c r="V113" i="3"/>
  <c r="J115" i="3"/>
  <c r="F118" i="3"/>
  <c r="F121" i="3"/>
  <c r="V121" i="3"/>
  <c r="J123" i="3"/>
  <c r="V125" i="3"/>
  <c r="X128" i="3"/>
  <c r="Z128" i="3" s="1"/>
  <c r="V129" i="3"/>
  <c r="F133" i="3"/>
  <c r="V133" i="3"/>
  <c r="J137" i="3"/>
  <c r="F138" i="3"/>
  <c r="J141" i="3"/>
  <c r="J145" i="3"/>
  <c r="F146" i="3"/>
  <c r="V149" i="3"/>
  <c r="F153" i="3"/>
  <c r="V153" i="3"/>
  <c r="X156" i="3"/>
  <c r="V157" i="3"/>
  <c r="L158" i="3"/>
  <c r="N158" i="3" s="1"/>
  <c r="V161" i="3"/>
  <c r="L162" i="3"/>
  <c r="N162" i="3" s="1"/>
  <c r="J166" i="3"/>
  <c r="V167" i="3"/>
  <c r="F169" i="3"/>
  <c r="J175" i="3"/>
  <c r="J181" i="3"/>
  <c r="L15" i="4"/>
  <c r="X21" i="4"/>
  <c r="F24" i="4"/>
  <c r="V24" i="4"/>
  <c r="L25" i="4"/>
  <c r="L29" i="4"/>
  <c r="L33" i="4"/>
  <c r="V21" i="5"/>
  <c r="L22" i="5"/>
  <c r="J25" i="5"/>
  <c r="R27" i="5"/>
  <c r="J29" i="5"/>
  <c r="R31" i="5"/>
  <c r="J33" i="5"/>
  <c r="R34" i="5"/>
  <c r="L18" i="6"/>
  <c r="X24" i="7"/>
  <c r="J34" i="8"/>
  <c r="J31" i="8"/>
  <c r="J27" i="8"/>
  <c r="J24" i="8"/>
  <c r="J21" i="8"/>
  <c r="J18" i="8"/>
  <c r="J36" i="8"/>
  <c r="J33" i="8"/>
  <c r="J29" i="8"/>
  <c r="J25" i="8"/>
  <c r="H18" i="8"/>
  <c r="J15" i="8"/>
  <c r="L25" i="8"/>
  <c r="J46" i="9"/>
  <c r="Z56" i="12"/>
  <c r="N111" i="12"/>
  <c r="J128" i="12"/>
  <c r="J138" i="12"/>
  <c r="X139" i="12"/>
  <c r="L21" i="13"/>
  <c r="F147" i="15"/>
  <c r="F141" i="15"/>
  <c r="F137" i="15"/>
  <c r="F134" i="15"/>
  <c r="F130" i="15"/>
  <c r="F142" i="15"/>
  <c r="F138" i="15"/>
  <c r="F135" i="15"/>
  <c r="F132" i="15"/>
  <c r="F131" i="15"/>
  <c r="F71" i="15"/>
  <c r="F59" i="15"/>
  <c r="F43" i="15"/>
  <c r="F35" i="15"/>
  <c r="F27" i="15"/>
  <c r="F144" i="15"/>
  <c r="F124" i="15"/>
  <c r="F112" i="15"/>
  <c r="F96" i="15"/>
  <c r="F84" i="15"/>
  <c r="F69" i="15"/>
  <c r="F64" i="15"/>
  <c r="F57" i="15"/>
  <c r="F50" i="15"/>
  <c r="F41" i="15"/>
  <c r="F33" i="15"/>
  <c r="F25" i="15"/>
  <c r="F120" i="15"/>
  <c r="F116" i="15"/>
  <c r="F107" i="15"/>
  <c r="F104" i="15"/>
  <c r="F99" i="15"/>
  <c r="F92" i="15"/>
  <c r="F87" i="15"/>
  <c r="F80" i="15"/>
  <c r="F75" i="15"/>
  <c r="F68" i="15"/>
  <c r="F56" i="15"/>
  <c r="D50" i="15"/>
  <c r="F48" i="15"/>
  <c r="F40" i="15"/>
  <c r="F32" i="15"/>
  <c r="F24" i="15"/>
  <c r="F149" i="15"/>
  <c r="F148" i="15"/>
  <c r="F123" i="15"/>
  <c r="F119" i="15"/>
  <c r="F115" i="15"/>
  <c r="F111" i="15"/>
  <c r="F95" i="15"/>
  <c r="F83" i="15"/>
  <c r="F67" i="15"/>
  <c r="F63" i="15"/>
  <c r="F55" i="15"/>
  <c r="F47" i="15"/>
  <c r="F39" i="15"/>
  <c r="F31" i="15"/>
  <c r="F23" i="15"/>
  <c r="F122" i="15"/>
  <c r="F118" i="15"/>
  <c r="F114" i="15"/>
  <c r="F110" i="15"/>
  <c r="F106" i="15"/>
  <c r="F101" i="15"/>
  <c r="F98" i="15"/>
  <c r="F94" i="15"/>
  <c r="F89" i="15"/>
  <c r="F86" i="15"/>
  <c r="F82" i="15"/>
  <c r="F77" i="15"/>
  <c r="F74" i="15"/>
  <c r="F66" i="15"/>
  <c r="F62" i="15"/>
  <c r="F54" i="15"/>
  <c r="F46" i="15"/>
  <c r="F38" i="15"/>
  <c r="F30" i="15"/>
  <c r="F22" i="15"/>
  <c r="F153" i="15"/>
  <c r="F133" i="15"/>
  <c r="F129" i="15"/>
  <c r="F127" i="15"/>
  <c r="F126" i="15"/>
  <c r="F125" i="15"/>
  <c r="F113" i="15"/>
  <c r="F109" i="15"/>
  <c r="F97" i="15"/>
  <c r="F85" i="15"/>
  <c r="F73" i="15"/>
  <c r="F65" i="15"/>
  <c r="F61" i="15"/>
  <c r="F52" i="15"/>
  <c r="F45" i="15"/>
  <c r="F37" i="15"/>
  <c r="F29" i="15"/>
  <c r="H151" i="15"/>
  <c r="F58" i="15"/>
  <c r="R62" i="15"/>
  <c r="R68" i="15"/>
  <c r="F79" i="15"/>
  <c r="F81" i="15"/>
  <c r="R89" i="15"/>
  <c r="F103" i="15"/>
  <c r="F105" i="15"/>
  <c r="R122" i="15"/>
  <c r="R49" i="18"/>
  <c r="X113" i="18"/>
  <c r="Z113" i="18" s="1"/>
  <c r="F107" i="30"/>
  <c r="F103" i="30"/>
  <c r="F99" i="30"/>
  <c r="F86" i="30"/>
  <c r="F83" i="30"/>
  <c r="F121" i="30"/>
  <c r="F116" i="30"/>
  <c r="F109" i="30"/>
  <c r="F88" i="30"/>
  <c r="F85" i="30"/>
  <c r="F80" i="30"/>
  <c r="F87" i="30"/>
  <c r="F79" i="30"/>
  <c r="F78" i="30"/>
  <c r="F58" i="30"/>
  <c r="F53" i="30"/>
  <c r="F46" i="30"/>
  <c r="D40" i="30"/>
  <c r="F38" i="30"/>
  <c r="F30" i="30"/>
  <c r="F22" i="30"/>
  <c r="L12" i="30"/>
  <c r="N12" i="30" s="1"/>
  <c r="F101" i="30"/>
  <c r="F100" i="30"/>
  <c r="F72" i="30"/>
  <c r="F69" i="30"/>
  <c r="F64" i="30"/>
  <c r="F57" i="30"/>
  <c r="F45" i="30"/>
  <c r="F37" i="30"/>
  <c r="F29" i="30"/>
  <c r="F21" i="30"/>
  <c r="F97" i="30"/>
  <c r="F74" i="30"/>
  <c r="F71" i="30"/>
  <c r="F66" i="30"/>
  <c r="F63" i="30"/>
  <c r="F55" i="30"/>
  <c r="F51" i="30"/>
  <c r="F42" i="30"/>
  <c r="F35" i="30"/>
  <c r="F27" i="30"/>
  <c r="F117" i="30"/>
  <c r="F108" i="30"/>
  <c r="F95" i="30"/>
  <c r="F92" i="30"/>
  <c r="F84" i="30"/>
  <c r="F77" i="30"/>
  <c r="F62" i="30"/>
  <c r="F54" i="30"/>
  <c r="F50" i="30"/>
  <c r="F34" i="30"/>
  <c r="F26" i="30"/>
  <c r="F94" i="30"/>
  <c r="F93" i="30"/>
  <c r="F73" i="30"/>
  <c r="F68" i="30"/>
  <c r="F65" i="30"/>
  <c r="F61" i="30"/>
  <c r="F49" i="30"/>
  <c r="F33" i="30"/>
  <c r="F25" i="30"/>
  <c r="F115" i="30"/>
  <c r="F112" i="30"/>
  <c r="F106" i="30"/>
  <c r="F104" i="30"/>
  <c r="F102" i="30"/>
  <c r="F91" i="30"/>
  <c r="F82" i="30"/>
  <c r="F76" i="30"/>
  <c r="F60" i="30"/>
  <c r="F48" i="30"/>
  <c r="F43" i="30"/>
  <c r="F32" i="30"/>
  <c r="F24" i="30"/>
  <c r="F19" i="30"/>
  <c r="F89" i="30"/>
  <c r="F47" i="30"/>
  <c r="F28" i="30"/>
  <c r="F110" i="30"/>
  <c r="F96" i="30"/>
  <c r="F23" i="30"/>
  <c r="F111" i="30"/>
  <c r="F90" i="30"/>
  <c r="F75" i="30"/>
  <c r="F70" i="30"/>
  <c r="F20" i="30"/>
  <c r="F98" i="30"/>
  <c r="F59" i="30"/>
  <c r="F56" i="30"/>
  <c r="F52" i="30"/>
  <c r="F105" i="30"/>
  <c r="F44" i="30"/>
  <c r="F67" i="30"/>
  <c r="F31" i="30"/>
  <c r="F91" i="3"/>
  <c r="F132" i="3"/>
  <c r="F181" i="3"/>
  <c r="H16" i="6"/>
  <c r="N14" i="6"/>
  <c r="Z52" i="15"/>
  <c r="F27" i="3"/>
  <c r="F51" i="3"/>
  <c r="F59" i="3"/>
  <c r="Z139" i="12"/>
  <c r="P12" i="3"/>
  <c r="J27" i="3"/>
  <c r="F28" i="3"/>
  <c r="V31" i="3"/>
  <c r="J35" i="3"/>
  <c r="F36" i="3"/>
  <c r="V39" i="3"/>
  <c r="J43" i="3"/>
  <c r="F44" i="3"/>
  <c r="V47" i="3"/>
  <c r="J51" i="3"/>
  <c r="F52" i="3"/>
  <c r="V55" i="3"/>
  <c r="J59" i="3"/>
  <c r="F60" i="3"/>
  <c r="D62" i="3"/>
  <c r="T62" i="3"/>
  <c r="J67" i="3"/>
  <c r="F68" i="3"/>
  <c r="V71" i="3"/>
  <c r="J75" i="3"/>
  <c r="J79" i="3"/>
  <c r="F80" i="3"/>
  <c r="V83" i="3"/>
  <c r="F87" i="3"/>
  <c r="V87" i="3"/>
  <c r="J89" i="3"/>
  <c r="F92" i="3"/>
  <c r="J95" i="3"/>
  <c r="F99" i="3"/>
  <c r="V99" i="3"/>
  <c r="J101" i="3"/>
  <c r="F104" i="3"/>
  <c r="J107" i="3"/>
  <c r="F111" i="3"/>
  <c r="V111" i="3"/>
  <c r="J113" i="3"/>
  <c r="F116" i="3"/>
  <c r="F119" i="3"/>
  <c r="V119" i="3"/>
  <c r="J121" i="3"/>
  <c r="F124" i="3"/>
  <c r="V127" i="3"/>
  <c r="V131" i="3"/>
  <c r="J133" i="3"/>
  <c r="V135" i="3"/>
  <c r="F139" i="3"/>
  <c r="V139" i="3"/>
  <c r="V143" i="3"/>
  <c r="J147" i="3"/>
  <c r="F148" i="3"/>
  <c r="V151" i="3"/>
  <c r="J153" i="3"/>
  <c r="V155" i="3"/>
  <c r="J159" i="3"/>
  <c r="F160" i="3"/>
  <c r="J163" i="3"/>
  <c r="F165" i="3"/>
  <c r="V165" i="3"/>
  <c r="F167" i="3"/>
  <c r="J172" i="3"/>
  <c r="V173" i="3"/>
  <c r="J177" i="3"/>
  <c r="F182" i="3"/>
  <c r="V182" i="3"/>
  <c r="Z12" i="4"/>
  <c r="V16" i="4"/>
  <c r="F20" i="4"/>
  <c r="V20" i="4"/>
  <c r="X12" i="5"/>
  <c r="J21" i="5"/>
  <c r="V27" i="5"/>
  <c r="V31" i="5"/>
  <c r="V34" i="5"/>
  <c r="V36" i="5"/>
  <c r="X12" i="6"/>
  <c r="R29" i="6"/>
  <c r="R26" i="6"/>
  <c r="R20" i="6"/>
  <c r="R16" i="6"/>
  <c r="R31" i="6"/>
  <c r="R24" i="7"/>
  <c r="R18" i="7"/>
  <c r="R36" i="7"/>
  <c r="R33" i="7"/>
  <c r="R29" i="7"/>
  <c r="R25" i="7"/>
  <c r="P18" i="7"/>
  <c r="R15" i="7"/>
  <c r="R22" i="7"/>
  <c r="X12" i="7"/>
  <c r="R20" i="7"/>
  <c r="R16" i="7"/>
  <c r="X15" i="8"/>
  <c r="J20" i="8"/>
  <c r="J22" i="8"/>
  <c r="X33" i="8"/>
  <c r="J87" i="9"/>
  <c r="J83" i="9"/>
  <c r="J75" i="9"/>
  <c r="J71" i="9"/>
  <c r="J67" i="9"/>
  <c r="J57" i="9"/>
  <c r="J43" i="9"/>
  <c r="J39" i="9"/>
  <c r="J27" i="9"/>
  <c r="J99" i="9"/>
  <c r="J93" i="9"/>
  <c r="J89" i="9"/>
  <c r="J81" i="9"/>
  <c r="J77" i="9"/>
  <c r="J69" i="9"/>
  <c r="J65" i="9"/>
  <c r="J59" i="9"/>
  <c r="J51" i="9"/>
  <c r="J45" i="9"/>
  <c r="J37" i="9"/>
  <c r="J31" i="9"/>
  <c r="J25" i="9"/>
  <c r="J19" i="9"/>
  <c r="J80" i="9"/>
  <c r="J64" i="9"/>
  <c r="J56" i="9"/>
  <c r="J42" i="9"/>
  <c r="J36" i="9"/>
  <c r="J24" i="9"/>
  <c r="J16" i="9"/>
  <c r="J97" i="9"/>
  <c r="J91" i="9"/>
  <c r="J85" i="9"/>
  <c r="J79" i="9"/>
  <c r="J73" i="9"/>
  <c r="J61" i="9"/>
  <c r="J53" i="9"/>
  <c r="J47" i="9"/>
  <c r="J35" i="9"/>
  <c r="J23" i="9"/>
  <c r="H16" i="9"/>
  <c r="J88" i="9"/>
  <c r="J76" i="9"/>
  <c r="J68" i="9"/>
  <c r="J58" i="9"/>
  <c r="J50" i="9"/>
  <c r="J44" i="9"/>
  <c r="J34" i="9"/>
  <c r="J30" i="9"/>
  <c r="J22" i="9"/>
  <c r="J102" i="9"/>
  <c r="J95" i="9"/>
  <c r="J63" i="9"/>
  <c r="J55" i="9"/>
  <c r="J49" i="9"/>
  <c r="J41" i="9"/>
  <c r="J33" i="9"/>
  <c r="J29" i="9"/>
  <c r="J21" i="9"/>
  <c r="N31" i="9"/>
  <c r="N53" i="9"/>
  <c r="L57" i="9"/>
  <c r="N57" i="9" s="1"/>
  <c r="N61" i="9"/>
  <c r="J82" i="9"/>
  <c r="N12" i="11"/>
  <c r="L29" i="11"/>
  <c r="J154" i="12"/>
  <c r="J141" i="12"/>
  <c r="J137" i="12"/>
  <c r="J131" i="12"/>
  <c r="J123" i="12"/>
  <c r="J111" i="12"/>
  <c r="J103" i="12"/>
  <c r="J91" i="12"/>
  <c r="J79" i="12"/>
  <c r="J73" i="12"/>
  <c r="J61" i="12"/>
  <c r="H54" i="12"/>
  <c r="J54" i="12" s="1"/>
  <c r="J45" i="12"/>
  <c r="J37" i="12"/>
  <c r="J29" i="12"/>
  <c r="J23" i="12"/>
  <c r="J156" i="12"/>
  <c r="J151" i="12"/>
  <c r="J147" i="12"/>
  <c r="J143" i="12"/>
  <c r="J135" i="12"/>
  <c r="J127" i="12"/>
  <c r="J113" i="12"/>
  <c r="J105" i="12"/>
  <c r="J99" i="12"/>
  <c r="J93" i="12"/>
  <c r="J87" i="12"/>
  <c r="J81" i="12"/>
  <c r="J71" i="12"/>
  <c r="J67" i="12"/>
  <c r="J59" i="12"/>
  <c r="J51" i="12"/>
  <c r="J43" i="12"/>
  <c r="J35" i="12"/>
  <c r="J27" i="12"/>
  <c r="J153" i="12"/>
  <c r="J146" i="12"/>
  <c r="J134" i="12"/>
  <c r="J130" i="12"/>
  <c r="J126" i="12"/>
  <c r="J122" i="12"/>
  <c r="J110" i="12"/>
  <c r="J102" i="12"/>
  <c r="J98" i="12"/>
  <c r="J90" i="12"/>
  <c r="J86" i="12"/>
  <c r="J78" i="12"/>
  <c r="J70" i="12"/>
  <c r="J66" i="12"/>
  <c r="J58" i="12"/>
  <c r="J56" i="12"/>
  <c r="J50" i="12"/>
  <c r="J42" i="12"/>
  <c r="J34" i="12"/>
  <c r="J26" i="12"/>
  <c r="J149" i="12"/>
  <c r="J145" i="12"/>
  <c r="J139" i="12"/>
  <c r="J133" i="12"/>
  <c r="J129" i="12"/>
  <c r="J125" i="12"/>
  <c r="J121" i="12"/>
  <c r="J117" i="12"/>
  <c r="J107" i="12"/>
  <c r="J101" i="12"/>
  <c r="J95" i="12"/>
  <c r="J89" i="12"/>
  <c r="J83" i="12"/>
  <c r="J77" i="12"/>
  <c r="J69" i="12"/>
  <c r="J65" i="12"/>
  <c r="J49" i="12"/>
  <c r="J41" i="12"/>
  <c r="J33" i="12"/>
  <c r="J25" i="12"/>
  <c r="J160" i="12"/>
  <c r="J155" i="12"/>
  <c r="J142" i="12"/>
  <c r="J132" i="12"/>
  <c r="J124" i="12"/>
  <c r="J120" i="12"/>
  <c r="J116" i="12"/>
  <c r="J112" i="12"/>
  <c r="J104" i="12"/>
  <c r="J92" i="12"/>
  <c r="J80" i="12"/>
  <c r="J76" i="12"/>
  <c r="J64" i="12"/>
  <c r="J48" i="12"/>
  <c r="J40" i="12"/>
  <c r="J32" i="12"/>
  <c r="J24" i="12"/>
  <c r="J152" i="12"/>
  <c r="J119" i="12"/>
  <c r="J115" i="12"/>
  <c r="J109" i="12"/>
  <c r="J97" i="12"/>
  <c r="J85" i="12"/>
  <c r="J75" i="12"/>
  <c r="J63" i="12"/>
  <c r="J57" i="12"/>
  <c r="J47" i="12"/>
  <c r="J39" i="12"/>
  <c r="J31" i="12"/>
  <c r="J28" i="12"/>
  <c r="J36" i="12"/>
  <c r="J44" i="12"/>
  <c r="J52" i="12"/>
  <c r="L57" i="12"/>
  <c r="J60" i="12"/>
  <c r="J82" i="12"/>
  <c r="X83" i="12"/>
  <c r="L85" i="12"/>
  <c r="N91" i="12"/>
  <c r="N95" i="12"/>
  <c r="N103" i="12"/>
  <c r="N107" i="12"/>
  <c r="L13" i="14"/>
  <c r="F26" i="15"/>
  <c r="F36" i="15"/>
  <c r="F78" i="15"/>
  <c r="R120" i="15"/>
  <c r="N124" i="15"/>
  <c r="F146" i="15"/>
  <c r="J79" i="27"/>
  <c r="J75" i="27"/>
  <c r="J63" i="27"/>
  <c r="J55" i="27"/>
  <c r="J47" i="27"/>
  <c r="J43" i="27"/>
  <c r="J35" i="27"/>
  <c r="J33" i="27"/>
  <c r="J27" i="27"/>
  <c r="J85" i="27"/>
  <c r="J78" i="27"/>
  <c r="J72" i="27"/>
  <c r="J68" i="27"/>
  <c r="J60" i="27"/>
  <c r="J54" i="27"/>
  <c r="J46" i="27"/>
  <c r="J42" i="27"/>
  <c r="J26" i="27"/>
  <c r="J74" i="27"/>
  <c r="J62" i="27"/>
  <c r="J52" i="27"/>
  <c r="J40" i="27"/>
  <c r="J34" i="27"/>
  <c r="J24" i="27"/>
  <c r="J89" i="27"/>
  <c r="J84" i="27"/>
  <c r="J77" i="27"/>
  <c r="J71" i="27"/>
  <c r="J67" i="27"/>
  <c r="J59" i="27"/>
  <c r="J51" i="27"/>
  <c r="J45" i="27"/>
  <c r="J39" i="27"/>
  <c r="J31" i="27"/>
  <c r="J23" i="27"/>
  <c r="J70" i="27"/>
  <c r="J64" i="27"/>
  <c r="J56" i="27"/>
  <c r="J50" i="27"/>
  <c r="J38" i="27"/>
  <c r="H31" i="27"/>
  <c r="J22" i="27"/>
  <c r="J81" i="27"/>
  <c r="J73" i="27"/>
  <c r="J69" i="27"/>
  <c r="J61" i="27"/>
  <c r="J49" i="27"/>
  <c r="J37" i="27"/>
  <c r="J29" i="27"/>
  <c r="J21" i="27"/>
  <c r="J82" i="27"/>
  <c r="J58" i="27"/>
  <c r="J48" i="27"/>
  <c r="J36" i="27"/>
  <c r="J25" i="27"/>
  <c r="J57" i="27"/>
  <c r="J76" i="27"/>
  <c r="J19" i="27"/>
  <c r="J53" i="27"/>
  <c r="J44" i="27"/>
  <c r="J20" i="27"/>
  <c r="J66" i="27"/>
  <c r="J65" i="27"/>
  <c r="J83" i="27"/>
  <c r="J41" i="27"/>
  <c r="J28" i="27"/>
  <c r="L65" i="36"/>
  <c r="N65" i="36" s="1"/>
  <c r="F48" i="3"/>
  <c r="F100" i="3"/>
  <c r="F103" i="3"/>
  <c r="F115" i="3"/>
  <c r="F152" i="3"/>
  <c r="L13" i="12"/>
  <c r="N13" i="12" s="1"/>
  <c r="D12" i="12"/>
  <c r="F107" i="3"/>
  <c r="F163" i="3"/>
  <c r="L166" i="3"/>
  <c r="V24" i="5"/>
  <c r="R24" i="10"/>
  <c r="R18" i="10"/>
  <c r="R36" i="10"/>
  <c r="R33" i="10"/>
  <c r="R29" i="10"/>
  <c r="R25" i="10"/>
  <c r="P18" i="10"/>
  <c r="R15" i="10"/>
  <c r="R22" i="10"/>
  <c r="X12" i="10"/>
  <c r="R20" i="10"/>
  <c r="R16" i="10"/>
  <c r="N79" i="12"/>
  <c r="V18" i="17"/>
  <c r="V36" i="17"/>
  <c r="V33" i="17"/>
  <c r="V29" i="17"/>
  <c r="V25" i="17"/>
  <c r="T18" i="17"/>
  <c r="V15" i="17"/>
  <c r="V22" i="17"/>
  <c r="V20" i="17"/>
  <c r="V16" i="17"/>
  <c r="Z12" i="17"/>
  <c r="V34" i="17"/>
  <c r="V31" i="17"/>
  <c r="V27" i="17"/>
  <c r="J28" i="3"/>
  <c r="F29" i="3"/>
  <c r="V32" i="3"/>
  <c r="J36" i="3"/>
  <c r="F37" i="3"/>
  <c r="V40" i="3"/>
  <c r="J44" i="3"/>
  <c r="F45" i="3"/>
  <c r="V48" i="3"/>
  <c r="J52" i="3"/>
  <c r="F53" i="3"/>
  <c r="V56" i="3"/>
  <c r="J60" i="3"/>
  <c r="F62" i="3"/>
  <c r="V62" i="3"/>
  <c r="J68" i="3"/>
  <c r="F69" i="3"/>
  <c r="V72" i="3"/>
  <c r="F76" i="3"/>
  <c r="V76" i="3"/>
  <c r="J80" i="3"/>
  <c r="F81" i="3"/>
  <c r="V84" i="3"/>
  <c r="X87" i="3"/>
  <c r="Z87" i="3" s="1"/>
  <c r="V88" i="3"/>
  <c r="L89" i="3"/>
  <c r="N89" i="3" s="1"/>
  <c r="J92" i="3"/>
  <c r="F96" i="3"/>
  <c r="V96" i="3"/>
  <c r="X99" i="3"/>
  <c r="Z99" i="3" s="1"/>
  <c r="V100" i="3"/>
  <c r="L101" i="3"/>
  <c r="N101" i="3" s="1"/>
  <c r="J104" i="3"/>
  <c r="F108" i="3"/>
  <c r="V108" i="3"/>
  <c r="X111" i="3"/>
  <c r="Z111" i="3" s="1"/>
  <c r="V112" i="3"/>
  <c r="L113" i="3"/>
  <c r="N113" i="3" s="1"/>
  <c r="J116" i="3"/>
  <c r="X119" i="3"/>
  <c r="Z119" i="3" s="1"/>
  <c r="V120" i="3"/>
  <c r="L121" i="3"/>
  <c r="N121" i="3" s="1"/>
  <c r="J124" i="3"/>
  <c r="F125" i="3"/>
  <c r="F129" i="3"/>
  <c r="V132" i="3"/>
  <c r="L133" i="3"/>
  <c r="V136" i="3"/>
  <c r="X139" i="3"/>
  <c r="V140" i="3"/>
  <c r="J142" i="3"/>
  <c r="V144" i="3"/>
  <c r="J148" i="3"/>
  <c r="F149" i="3"/>
  <c r="V152" i="3"/>
  <c r="L153" i="3"/>
  <c r="F157" i="3"/>
  <c r="J160" i="3"/>
  <c r="F161" i="3"/>
  <c r="J167" i="3"/>
  <c r="V168" i="3"/>
  <c r="F170" i="3"/>
  <c r="X182" i="3"/>
  <c r="Z182" i="3" s="1"/>
  <c r="X16" i="4"/>
  <c r="X20" i="4"/>
  <c r="L24" i="4"/>
  <c r="J31" i="4"/>
  <c r="J34" i="4"/>
  <c r="Z12" i="5"/>
  <c r="V16" i="5"/>
  <c r="V20" i="5"/>
  <c r="L21" i="5"/>
  <c r="R22" i="5"/>
  <c r="J24" i="5"/>
  <c r="R18" i="6"/>
  <c r="Z18" i="7"/>
  <c r="X29" i="8"/>
  <c r="N12" i="9"/>
  <c r="J52" i="9"/>
  <c r="J60" i="9"/>
  <c r="J70" i="9"/>
  <c r="J90" i="9"/>
  <c r="R27" i="10"/>
  <c r="N57" i="12"/>
  <c r="J62" i="12"/>
  <c r="Z83" i="12"/>
  <c r="N85" i="12"/>
  <c r="J94" i="12"/>
  <c r="J106" i="12"/>
  <c r="J140" i="12"/>
  <c r="R27" i="14"/>
  <c r="F60" i="15"/>
  <c r="R80" i="15"/>
  <c r="R82" i="15"/>
  <c r="R86" i="15"/>
  <c r="R98" i="15"/>
  <c r="F102" i="15"/>
  <c r="R104" i="15"/>
  <c r="R106" i="15"/>
  <c r="N112" i="15"/>
  <c r="R137" i="15"/>
  <c r="F139" i="15"/>
  <c r="L138" i="18"/>
  <c r="N138" i="18" s="1"/>
  <c r="J138" i="18"/>
  <c r="Z15" i="20"/>
  <c r="X15" i="20"/>
  <c r="Z15" i="26"/>
  <c r="X15" i="26"/>
  <c r="F56" i="3"/>
  <c r="F72" i="3"/>
  <c r="F123" i="3"/>
  <c r="F171" i="3"/>
  <c r="Z109" i="12"/>
  <c r="F67" i="3"/>
  <c r="F75" i="3"/>
  <c r="F79" i="3"/>
  <c r="F159" i="3"/>
  <c r="F172" i="3"/>
  <c r="F177" i="3"/>
  <c r="D27" i="7"/>
  <c r="F65" i="3"/>
  <c r="V65" i="3"/>
  <c r="J69" i="3"/>
  <c r="F70" i="3"/>
  <c r="V73" i="3"/>
  <c r="V77" i="3"/>
  <c r="J81" i="3"/>
  <c r="F82" i="3"/>
  <c r="V85" i="3"/>
  <c r="J87" i="3"/>
  <c r="F90" i="3"/>
  <c r="F93" i="3"/>
  <c r="V93" i="3"/>
  <c r="V97" i="3"/>
  <c r="J99" i="3"/>
  <c r="F102" i="3"/>
  <c r="F105" i="3"/>
  <c r="V105" i="3"/>
  <c r="V109" i="3"/>
  <c r="J111" i="3"/>
  <c r="F114" i="3"/>
  <c r="F117" i="3"/>
  <c r="V117" i="3"/>
  <c r="J119" i="3"/>
  <c r="F122" i="3"/>
  <c r="J125" i="3"/>
  <c r="F126" i="3"/>
  <c r="J129" i="3"/>
  <c r="F130" i="3"/>
  <c r="F134" i="3"/>
  <c r="V137" i="3"/>
  <c r="J139" i="3"/>
  <c r="V141" i="3"/>
  <c r="V145" i="3"/>
  <c r="J149" i="3"/>
  <c r="F150" i="3"/>
  <c r="F154" i="3"/>
  <c r="J157" i="3"/>
  <c r="J161" i="3"/>
  <c r="J165" i="3"/>
  <c r="J170" i="3"/>
  <c r="V171" i="3"/>
  <c r="F173" i="3"/>
  <c r="J182" i="3"/>
  <c r="J16" i="4"/>
  <c r="F22" i="4"/>
  <c r="V22" i="4"/>
  <c r="R15" i="5"/>
  <c r="P18" i="5"/>
  <c r="R25" i="5"/>
  <c r="J27" i="5"/>
  <c r="R29" i="5"/>
  <c r="J31" i="5"/>
  <c r="R33" i="5"/>
  <c r="J34" i="5"/>
  <c r="R24" i="6"/>
  <c r="N28" i="6"/>
  <c r="R27" i="7"/>
  <c r="R34" i="7"/>
  <c r="X21" i="8"/>
  <c r="X25" i="8"/>
  <c r="N18" i="9"/>
  <c r="N19" i="9"/>
  <c r="J48" i="9"/>
  <c r="Z53" i="9"/>
  <c r="L55" i="9"/>
  <c r="Z57" i="9"/>
  <c r="Z61" i="9"/>
  <c r="L63" i="9"/>
  <c r="N63" i="9" s="1"/>
  <c r="J66" i="9"/>
  <c r="J78" i="9"/>
  <c r="N85" i="9"/>
  <c r="L13" i="10"/>
  <c r="L15" i="11"/>
  <c r="J72" i="12"/>
  <c r="Z79" i="12"/>
  <c r="Z95" i="12"/>
  <c r="N97" i="12"/>
  <c r="Z107" i="12"/>
  <c r="N109" i="12"/>
  <c r="L123" i="12"/>
  <c r="N123" i="12" s="1"/>
  <c r="N131" i="12"/>
  <c r="N151" i="12"/>
  <c r="X21" i="13"/>
  <c r="R21" i="14"/>
  <c r="L22" i="14"/>
  <c r="X24" i="14"/>
  <c r="L12" i="15"/>
  <c r="R22" i="15"/>
  <c r="N52" i="15"/>
  <c r="Z64" i="15"/>
  <c r="F72" i="15"/>
  <c r="R79" i="15"/>
  <c r="F90" i="15"/>
  <c r="R92" i="15"/>
  <c r="R94" i="15"/>
  <c r="L112" i="15"/>
  <c r="N135" i="15"/>
  <c r="L135" i="15"/>
  <c r="F33" i="16"/>
  <c r="R155" i="18"/>
  <c r="R150" i="18"/>
  <c r="R139" i="18"/>
  <c r="R135" i="18"/>
  <c r="R75" i="18"/>
  <c r="R63" i="18"/>
  <c r="R47" i="18"/>
  <c r="R39" i="18"/>
  <c r="R31" i="18"/>
  <c r="R23" i="18"/>
  <c r="R152" i="18"/>
  <c r="R146" i="18"/>
  <c r="R142" i="18"/>
  <c r="R134" i="18"/>
  <c r="R126" i="18"/>
  <c r="R122" i="18"/>
  <c r="R110" i="18"/>
  <c r="R107" i="18"/>
  <c r="R98" i="18"/>
  <c r="R95" i="18"/>
  <c r="R86" i="18"/>
  <c r="R83" i="18"/>
  <c r="R74" i="18"/>
  <c r="R62" i="18"/>
  <c r="R54" i="18"/>
  <c r="R46" i="18"/>
  <c r="R38" i="18"/>
  <c r="R30" i="18"/>
  <c r="R22" i="18"/>
  <c r="R157" i="18"/>
  <c r="R145" i="18"/>
  <c r="R138" i="18"/>
  <c r="R133" i="18"/>
  <c r="R129" i="18"/>
  <c r="R125" i="18"/>
  <c r="R121" i="18"/>
  <c r="R117" i="18"/>
  <c r="R101" i="18"/>
  <c r="R89" i="18"/>
  <c r="R73" i="18"/>
  <c r="R69" i="18"/>
  <c r="R61" i="18"/>
  <c r="R58" i="18"/>
  <c r="R53" i="18"/>
  <c r="R45" i="18"/>
  <c r="R37" i="18"/>
  <c r="R29" i="18"/>
  <c r="R154" i="18"/>
  <c r="R148" i="18"/>
  <c r="R144" i="18"/>
  <c r="R141" i="18"/>
  <c r="R132" i="18"/>
  <c r="R128" i="18"/>
  <c r="R124" i="18"/>
  <c r="R120" i="18"/>
  <c r="R116" i="18"/>
  <c r="R112" i="18"/>
  <c r="R109" i="18"/>
  <c r="R104" i="18"/>
  <c r="R100" i="18"/>
  <c r="R97" i="18"/>
  <c r="R92" i="18"/>
  <c r="R88" i="18"/>
  <c r="R85" i="18"/>
  <c r="R80" i="18"/>
  <c r="R72" i="18"/>
  <c r="R68" i="18"/>
  <c r="R60" i="18"/>
  <c r="R52" i="18"/>
  <c r="R44" i="18"/>
  <c r="R36" i="18"/>
  <c r="R28" i="18"/>
  <c r="R21" i="18"/>
  <c r="R151" i="18"/>
  <c r="R131" i="18"/>
  <c r="R119" i="18"/>
  <c r="R115" i="18"/>
  <c r="R103" i="18"/>
  <c r="R91" i="18"/>
  <c r="R79" i="18"/>
  <c r="R71" i="18"/>
  <c r="R67" i="18"/>
  <c r="R51" i="18"/>
  <c r="R43" i="18"/>
  <c r="R35" i="18"/>
  <c r="R27" i="18"/>
  <c r="R156" i="18"/>
  <c r="R147" i="18"/>
  <c r="R143" i="18"/>
  <c r="R127" i="18"/>
  <c r="R123" i="18"/>
  <c r="R114" i="18"/>
  <c r="R111" i="18"/>
  <c r="R106" i="18"/>
  <c r="R99" i="18"/>
  <c r="R94" i="18"/>
  <c r="R87" i="18"/>
  <c r="R82" i="18"/>
  <c r="R78" i="18"/>
  <c r="R66" i="18"/>
  <c r="R59" i="18"/>
  <c r="R50" i="18"/>
  <c r="R42" i="18"/>
  <c r="R34" i="18"/>
  <c r="R26" i="18"/>
  <c r="X12" i="18"/>
  <c r="R161" i="18"/>
  <c r="R102" i="18"/>
  <c r="R64" i="18"/>
  <c r="R140" i="18"/>
  <c r="R130" i="18"/>
  <c r="R113" i="18"/>
  <c r="R136" i="18"/>
  <c r="R108" i="18"/>
  <c r="R137" i="18"/>
  <c r="R90" i="18"/>
  <c r="R84" i="18"/>
  <c r="R70" i="18"/>
  <c r="R105" i="18"/>
  <c r="R76" i="18"/>
  <c r="R56" i="18"/>
  <c r="R48" i="18"/>
  <c r="R40" i="18"/>
  <c r="R32" i="18"/>
  <c r="R24" i="18"/>
  <c r="R153" i="18"/>
  <c r="L155" i="18"/>
  <c r="D150" i="18"/>
  <c r="L150" i="18" s="1"/>
  <c r="N150" i="18" s="1"/>
  <c r="F120" i="3"/>
  <c r="F136" i="3"/>
  <c r="F140" i="3"/>
  <c r="F144" i="3"/>
  <c r="P22" i="6"/>
  <c r="F35" i="3"/>
  <c r="F43" i="3"/>
  <c r="F95" i="3"/>
  <c r="F142" i="3"/>
  <c r="F147" i="3"/>
  <c r="T16" i="6"/>
  <c r="X16" i="6" s="1"/>
  <c r="Z14" i="6"/>
  <c r="J34" i="11"/>
  <c r="J31" i="11"/>
  <c r="J27" i="11"/>
  <c r="J24" i="11"/>
  <c r="J21" i="11"/>
  <c r="J18" i="11"/>
  <c r="J36" i="11"/>
  <c r="J33" i="11"/>
  <c r="J29" i="11"/>
  <c r="J25" i="11"/>
  <c r="H18" i="11"/>
  <c r="J15" i="11"/>
  <c r="R31" i="14"/>
  <c r="R34" i="14"/>
  <c r="N64" i="15"/>
  <c r="N24" i="16"/>
  <c r="L24" i="16"/>
  <c r="F29" i="16"/>
  <c r="J88" i="21"/>
  <c r="J84" i="21"/>
  <c r="J76" i="21"/>
  <c r="J72" i="21"/>
  <c r="J62" i="21"/>
  <c r="J48" i="21"/>
  <c r="J44" i="21"/>
  <c r="J32" i="21"/>
  <c r="J26" i="21"/>
  <c r="J18" i="21"/>
  <c r="J75" i="21"/>
  <c r="J71" i="21"/>
  <c r="J59" i="21"/>
  <c r="J53" i="21"/>
  <c r="J43" i="21"/>
  <c r="J31" i="21"/>
  <c r="J92" i="21"/>
  <c r="J86" i="21"/>
  <c r="J80" i="21"/>
  <c r="J68" i="21"/>
  <c r="J64" i="21"/>
  <c r="J56" i="21"/>
  <c r="J50" i="21"/>
  <c r="J42" i="21"/>
  <c r="J36" i="21"/>
  <c r="J30" i="21"/>
  <c r="H23" i="21"/>
  <c r="J23" i="21" s="1"/>
  <c r="J83" i="21"/>
  <c r="J61" i="21"/>
  <c r="J47" i="21"/>
  <c r="J41" i="21"/>
  <c r="J29" i="21"/>
  <c r="J21" i="21"/>
  <c r="J74" i="21"/>
  <c r="J70" i="21"/>
  <c r="J58" i="21"/>
  <c r="J52" i="21"/>
  <c r="J40" i="21"/>
  <c r="J28" i="21"/>
  <c r="J20" i="21"/>
  <c r="J85" i="21"/>
  <c r="J79" i="21"/>
  <c r="J67" i="21"/>
  <c r="J63" i="21"/>
  <c r="J55" i="21"/>
  <c r="J49" i="21"/>
  <c r="J39" i="21"/>
  <c r="J35" i="21"/>
  <c r="J27" i="21"/>
  <c r="J25" i="21"/>
  <c r="J19" i="21"/>
  <c r="J81" i="21"/>
  <c r="J77" i="21"/>
  <c r="J57" i="21"/>
  <c r="J69" i="21"/>
  <c r="J82" i="21"/>
  <c r="J66" i="21"/>
  <c r="J51" i="21"/>
  <c r="J33" i="21"/>
  <c r="J45" i="21"/>
  <c r="J37" i="21"/>
  <c r="J73" i="21"/>
  <c r="J60" i="21"/>
  <c r="J46" i="21"/>
  <c r="J38" i="21"/>
  <c r="J34" i="21"/>
  <c r="V58" i="21"/>
  <c r="J65" i="21"/>
  <c r="F25" i="3"/>
  <c r="F30" i="3"/>
  <c r="F38" i="3"/>
  <c r="F46" i="3"/>
  <c r="F54" i="3"/>
  <c r="V26" i="3"/>
  <c r="J30" i="3"/>
  <c r="F31" i="3"/>
  <c r="V34" i="3"/>
  <c r="J38" i="3"/>
  <c r="F39" i="3"/>
  <c r="V42" i="3"/>
  <c r="J46" i="3"/>
  <c r="F47" i="3"/>
  <c r="V50" i="3"/>
  <c r="J54" i="3"/>
  <c r="F55" i="3"/>
  <c r="V58" i="3"/>
  <c r="J62" i="3"/>
  <c r="V66" i="3"/>
  <c r="J70" i="3"/>
  <c r="F71" i="3"/>
  <c r="V74" i="3"/>
  <c r="J76" i="3"/>
  <c r="V78" i="3"/>
  <c r="J82" i="3"/>
  <c r="F83" i="3"/>
  <c r="V86" i="3"/>
  <c r="J90" i="3"/>
  <c r="V94" i="3"/>
  <c r="J96" i="3"/>
  <c r="V98" i="3"/>
  <c r="J102" i="3"/>
  <c r="V106" i="3"/>
  <c r="J108" i="3"/>
  <c r="V110" i="3"/>
  <c r="J114" i="3"/>
  <c r="V118" i="3"/>
  <c r="J122" i="3"/>
  <c r="J126" i="3"/>
  <c r="F127" i="3"/>
  <c r="J130" i="3"/>
  <c r="F131" i="3"/>
  <c r="J134" i="3"/>
  <c r="F135" i="3"/>
  <c r="V138" i="3"/>
  <c r="F143" i="3"/>
  <c r="V146" i="3"/>
  <c r="J150" i="3"/>
  <c r="F151" i="3"/>
  <c r="J154" i="3"/>
  <c r="F155" i="3"/>
  <c r="F158" i="3"/>
  <c r="V158" i="3"/>
  <c r="F162" i="3"/>
  <c r="V162" i="3"/>
  <c r="L12" i="4"/>
  <c r="F15" i="4"/>
  <c r="V15" i="4"/>
  <c r="D18" i="4"/>
  <c r="T18" i="4"/>
  <c r="F25" i="4"/>
  <c r="V25" i="4"/>
  <c r="F29" i="4"/>
  <c r="V29" i="4"/>
  <c r="F33" i="4"/>
  <c r="V33" i="4"/>
  <c r="J16" i="5"/>
  <c r="L14" i="6"/>
  <c r="L13" i="7"/>
  <c r="L15" i="8"/>
  <c r="J18" i="9"/>
  <c r="N55" i="9"/>
  <c r="N76" i="9"/>
  <c r="J84" i="9"/>
  <c r="X85" i="9"/>
  <c r="Z85" i="9" s="1"/>
  <c r="X24" i="10"/>
  <c r="J22" i="11"/>
  <c r="X14" i="12"/>
  <c r="P12" i="12"/>
  <c r="N23" i="12"/>
  <c r="Z57" i="12"/>
  <c r="J74" i="12"/>
  <c r="N81" i="12"/>
  <c r="J84" i="12"/>
  <c r="Z85" i="12"/>
  <c r="J88" i="12"/>
  <c r="Z91" i="12"/>
  <c r="Z103" i="12"/>
  <c r="L155" i="12"/>
  <c r="D151" i="12"/>
  <c r="L151" i="12" s="1"/>
  <c r="V21" i="13"/>
  <c r="V36" i="13"/>
  <c r="V33" i="13"/>
  <c r="V29" i="13"/>
  <c r="V25" i="13"/>
  <c r="T18" i="13"/>
  <c r="V15" i="13"/>
  <c r="V22" i="13"/>
  <c r="V20" i="13"/>
  <c r="V16" i="13"/>
  <c r="Z12" i="13"/>
  <c r="V34" i="13"/>
  <c r="V31" i="13"/>
  <c r="V27" i="13"/>
  <c r="X12" i="13"/>
  <c r="R139" i="15"/>
  <c r="R132" i="15"/>
  <c r="R148" i="15"/>
  <c r="R142" i="15"/>
  <c r="R138" i="15"/>
  <c r="R135" i="15"/>
  <c r="R126" i="15"/>
  <c r="R134" i="15"/>
  <c r="R130" i="15"/>
  <c r="R149" i="15"/>
  <c r="R123" i="15"/>
  <c r="R119" i="15"/>
  <c r="R115" i="15"/>
  <c r="R111" i="15"/>
  <c r="R95" i="15"/>
  <c r="R83" i="15"/>
  <c r="R67" i="15"/>
  <c r="R63" i="15"/>
  <c r="R55" i="15"/>
  <c r="R52" i="15"/>
  <c r="R47" i="15"/>
  <c r="R39" i="15"/>
  <c r="R31" i="15"/>
  <c r="R23" i="15"/>
  <c r="R147" i="15"/>
  <c r="R146" i="15"/>
  <c r="R125" i="15"/>
  <c r="R113" i="15"/>
  <c r="R109" i="15"/>
  <c r="R97" i="15"/>
  <c r="R85" i="15"/>
  <c r="R73" i="15"/>
  <c r="R65" i="15"/>
  <c r="R61" i="15"/>
  <c r="R45" i="15"/>
  <c r="R37" i="15"/>
  <c r="R29" i="15"/>
  <c r="R153" i="15"/>
  <c r="R145" i="15"/>
  <c r="R141" i="15"/>
  <c r="R136" i="15"/>
  <c r="R133" i="15"/>
  <c r="R129" i="15"/>
  <c r="R128" i="15"/>
  <c r="R127" i="15"/>
  <c r="R121" i="15"/>
  <c r="R117" i="15"/>
  <c r="R108" i="15"/>
  <c r="R105" i="15"/>
  <c r="R100" i="15"/>
  <c r="R93" i="15"/>
  <c r="R88" i="15"/>
  <c r="R81" i="15"/>
  <c r="R76" i="15"/>
  <c r="R72" i="15"/>
  <c r="R60" i="15"/>
  <c r="R53" i="15"/>
  <c r="R44" i="15"/>
  <c r="R36" i="15"/>
  <c r="R28" i="15"/>
  <c r="R21" i="15"/>
  <c r="R124" i="15"/>
  <c r="R112" i="15"/>
  <c r="R96" i="15"/>
  <c r="R84" i="15"/>
  <c r="R71" i="15"/>
  <c r="R64" i="15"/>
  <c r="R59" i="15"/>
  <c r="R50" i="15"/>
  <c r="R43" i="15"/>
  <c r="R35" i="15"/>
  <c r="R27" i="15"/>
  <c r="R140" i="15"/>
  <c r="R131" i="15"/>
  <c r="R107" i="15"/>
  <c r="R102" i="15"/>
  <c r="R99" i="15"/>
  <c r="R90" i="15"/>
  <c r="R87" i="15"/>
  <c r="R78" i="15"/>
  <c r="R75" i="15"/>
  <c r="R70" i="15"/>
  <c r="R58" i="15"/>
  <c r="P50" i="15"/>
  <c r="R42" i="15"/>
  <c r="R34" i="15"/>
  <c r="R26" i="15"/>
  <c r="X12" i="15"/>
  <c r="Z12" i="15" s="1"/>
  <c r="R144" i="15"/>
  <c r="R69" i="15"/>
  <c r="R57" i="15"/>
  <c r="R41" i="15"/>
  <c r="R33" i="15"/>
  <c r="R25" i="15"/>
  <c r="R40" i="15"/>
  <c r="R48" i="15"/>
  <c r="X52" i="15"/>
  <c r="R54" i="15"/>
  <c r="F76" i="15"/>
  <c r="R91" i="15"/>
  <c r="Z124" i="15"/>
  <c r="F145" i="15"/>
  <c r="L25" i="21"/>
  <c r="N25" i="21" s="1"/>
  <c r="J78" i="21"/>
  <c r="N55" i="24"/>
  <c r="F81" i="30"/>
  <c r="N12" i="6"/>
  <c r="J14" i="6"/>
  <c r="J18" i="6"/>
  <c r="J22" i="6"/>
  <c r="J28" i="6"/>
  <c r="J31" i="6"/>
  <c r="J18" i="7"/>
  <c r="F24" i="7"/>
  <c r="V24" i="7"/>
  <c r="F21" i="8"/>
  <c r="V21" i="8"/>
  <c r="R27" i="8"/>
  <c r="R31" i="8"/>
  <c r="R34" i="8"/>
  <c r="D16" i="9"/>
  <c r="T16" i="9"/>
  <c r="R19" i="9"/>
  <c r="F22" i="9"/>
  <c r="V25" i="9"/>
  <c r="R26" i="9"/>
  <c r="F30" i="9"/>
  <c r="R31" i="9"/>
  <c r="F34" i="9"/>
  <c r="V37" i="9"/>
  <c r="R38" i="9"/>
  <c r="V45" i="9"/>
  <c r="F50" i="9"/>
  <c r="R51" i="9"/>
  <c r="F53" i="9"/>
  <c r="V53" i="9"/>
  <c r="R54" i="9"/>
  <c r="F58" i="9"/>
  <c r="R59" i="9"/>
  <c r="F61" i="9"/>
  <c r="V61" i="9"/>
  <c r="R62" i="9"/>
  <c r="V65" i="9"/>
  <c r="R66" i="9"/>
  <c r="V69" i="9"/>
  <c r="R70" i="9"/>
  <c r="F73" i="9"/>
  <c r="V73" i="9"/>
  <c r="R74" i="9"/>
  <c r="V77" i="9"/>
  <c r="V81" i="9"/>
  <c r="R82" i="9"/>
  <c r="F85" i="9"/>
  <c r="V85" i="9"/>
  <c r="R86" i="9"/>
  <c r="V89" i="9"/>
  <c r="R93" i="9"/>
  <c r="R99" i="9"/>
  <c r="J18" i="10"/>
  <c r="F24" i="10"/>
  <c r="V24" i="10"/>
  <c r="V21" i="11"/>
  <c r="R27" i="11"/>
  <c r="R31" i="11"/>
  <c r="R34" i="11"/>
  <c r="V27" i="12"/>
  <c r="V35" i="12"/>
  <c r="V43" i="12"/>
  <c r="V51" i="12"/>
  <c r="V59" i="12"/>
  <c r="V67" i="12"/>
  <c r="V71" i="12"/>
  <c r="V83" i="12"/>
  <c r="V87" i="12"/>
  <c r="V95" i="12"/>
  <c r="V99" i="12"/>
  <c r="V107" i="12"/>
  <c r="V127" i="12"/>
  <c r="V135" i="12"/>
  <c r="V139" i="12"/>
  <c r="V143" i="12"/>
  <c r="V147" i="12"/>
  <c r="V153" i="12"/>
  <c r="J21" i="13"/>
  <c r="F27" i="13"/>
  <c r="F31" i="13"/>
  <c r="F34" i="13"/>
  <c r="J18" i="14"/>
  <c r="F24" i="14"/>
  <c r="V24" i="14"/>
  <c r="V148" i="15"/>
  <c r="V142" i="15"/>
  <c r="V138" i="15"/>
  <c r="V153" i="15"/>
  <c r="V145" i="15"/>
  <c r="V141" i="15"/>
  <c r="V137" i="15"/>
  <c r="V125" i="15"/>
  <c r="V149" i="15"/>
  <c r="V133" i="15"/>
  <c r="V129" i="15"/>
  <c r="V24" i="15"/>
  <c r="J28" i="15"/>
  <c r="V32" i="15"/>
  <c r="J36" i="15"/>
  <c r="V40" i="15"/>
  <c r="J44" i="15"/>
  <c r="V48" i="15"/>
  <c r="V52" i="15"/>
  <c r="V56" i="15"/>
  <c r="J60" i="15"/>
  <c r="V68" i="15"/>
  <c r="J72" i="15"/>
  <c r="J76" i="15"/>
  <c r="V80" i="15"/>
  <c r="J88" i="15"/>
  <c r="V92" i="15"/>
  <c r="J100" i="15"/>
  <c r="V104" i="15"/>
  <c r="J108" i="15"/>
  <c r="V116" i="15"/>
  <c r="V120" i="15"/>
  <c r="J128" i="15"/>
  <c r="J132" i="15"/>
  <c r="J136" i="15"/>
  <c r="J139" i="15"/>
  <c r="J141" i="15"/>
  <c r="J145" i="15"/>
  <c r="J146" i="15"/>
  <c r="J36" i="16"/>
  <c r="J33" i="16"/>
  <c r="J29" i="16"/>
  <c r="J25" i="16"/>
  <c r="H18" i="16"/>
  <c r="J15" i="16"/>
  <c r="J22" i="16"/>
  <c r="N12" i="16"/>
  <c r="J20" i="16"/>
  <c r="J16" i="16"/>
  <c r="J34" i="16"/>
  <c r="J24" i="16"/>
  <c r="X13" i="16"/>
  <c r="Z34" i="17"/>
  <c r="X34" i="17"/>
  <c r="X81" i="18"/>
  <c r="Z81" i="18" s="1"/>
  <c r="N109" i="18"/>
  <c r="Z111" i="18"/>
  <c r="N22" i="19"/>
  <c r="L22" i="19"/>
  <c r="F20" i="20"/>
  <c r="F16" i="20"/>
  <c r="F34" i="20"/>
  <c r="F31" i="20"/>
  <c r="F27" i="20"/>
  <c r="F24" i="20"/>
  <c r="F21" i="20"/>
  <c r="F18" i="20"/>
  <c r="F36" i="20"/>
  <c r="F33" i="20"/>
  <c r="F29" i="20"/>
  <c r="F25" i="20"/>
  <c r="D18" i="20"/>
  <c r="F15" i="20"/>
  <c r="L12" i="20"/>
  <c r="N60" i="21"/>
  <c r="N64" i="21"/>
  <c r="X74" i="21"/>
  <c r="Z74" i="21" s="1"/>
  <c r="N15" i="22"/>
  <c r="L15" i="22"/>
  <c r="N25" i="22"/>
  <c r="L25" i="22"/>
  <c r="J34" i="23"/>
  <c r="J31" i="23"/>
  <c r="J27" i="23"/>
  <c r="J36" i="23"/>
  <c r="J24" i="23"/>
  <c r="J21" i="23"/>
  <c r="J33" i="23"/>
  <c r="J18" i="23"/>
  <c r="H18" i="23"/>
  <c r="J15" i="23"/>
  <c r="J29" i="23"/>
  <c r="J22" i="23"/>
  <c r="N12" i="23"/>
  <c r="D18" i="23"/>
  <c r="N62" i="24"/>
  <c r="L62" i="24"/>
  <c r="J34" i="26"/>
  <c r="J31" i="26"/>
  <c r="J27" i="26"/>
  <c r="J24" i="26"/>
  <c r="J18" i="26"/>
  <c r="J36" i="26"/>
  <c r="J33" i="26"/>
  <c r="J29" i="26"/>
  <c r="J25" i="26"/>
  <c r="H18" i="26"/>
  <c r="J15" i="26"/>
  <c r="J22" i="26"/>
  <c r="N12" i="26"/>
  <c r="J21" i="26"/>
  <c r="J20" i="26"/>
  <c r="J16" i="26"/>
  <c r="N101" i="30"/>
  <c r="J21" i="7"/>
  <c r="F27" i="7"/>
  <c r="V27" i="7"/>
  <c r="F31" i="7"/>
  <c r="V31" i="7"/>
  <c r="F34" i="7"/>
  <c r="V34" i="7"/>
  <c r="R16" i="8"/>
  <c r="R20" i="8"/>
  <c r="F24" i="8"/>
  <c r="V24" i="8"/>
  <c r="F16" i="9"/>
  <c r="V16" i="9"/>
  <c r="F23" i="9"/>
  <c r="V26" i="9"/>
  <c r="R27" i="9"/>
  <c r="F35" i="9"/>
  <c r="V38" i="9"/>
  <c r="R39" i="9"/>
  <c r="F42" i="9"/>
  <c r="V42" i="9"/>
  <c r="R43" i="9"/>
  <c r="F47" i="9"/>
  <c r="R48" i="9"/>
  <c r="V54" i="9"/>
  <c r="V62" i="9"/>
  <c r="V66" i="9"/>
  <c r="R67" i="9"/>
  <c r="V70" i="9"/>
  <c r="R71" i="9"/>
  <c r="V74" i="9"/>
  <c r="R75" i="9"/>
  <c r="F79" i="9"/>
  <c r="V82" i="9"/>
  <c r="R83" i="9"/>
  <c r="V86" i="9"/>
  <c r="R87" i="9"/>
  <c r="F91" i="9"/>
  <c r="F97" i="9"/>
  <c r="J21" i="10"/>
  <c r="F27" i="10"/>
  <c r="V27" i="10"/>
  <c r="F31" i="10"/>
  <c r="V31" i="10"/>
  <c r="F34" i="10"/>
  <c r="V34" i="10"/>
  <c r="R16" i="11"/>
  <c r="R20" i="11"/>
  <c r="F24" i="11"/>
  <c r="V24" i="11"/>
  <c r="V28" i="12"/>
  <c r="V36" i="12"/>
  <c r="V44" i="12"/>
  <c r="V52" i="12"/>
  <c r="V56" i="12"/>
  <c r="V60" i="12"/>
  <c r="V72" i="12"/>
  <c r="V84" i="12"/>
  <c r="V96" i="12"/>
  <c r="V108" i="12"/>
  <c r="V136" i="12"/>
  <c r="V140" i="12"/>
  <c r="V156" i="12"/>
  <c r="F16" i="13"/>
  <c r="F20" i="13"/>
  <c r="V31" i="14"/>
  <c r="V34" i="14"/>
  <c r="V41" i="15"/>
  <c r="J45" i="15"/>
  <c r="V57" i="15"/>
  <c r="J61" i="15"/>
  <c r="J65" i="15"/>
  <c r="V69" i="15"/>
  <c r="J73" i="15"/>
  <c r="V77" i="15"/>
  <c r="J79" i="15"/>
  <c r="J85" i="15"/>
  <c r="V89" i="15"/>
  <c r="J91" i="15"/>
  <c r="J97" i="15"/>
  <c r="V101" i="15"/>
  <c r="J103" i="15"/>
  <c r="J109" i="15"/>
  <c r="J113" i="15"/>
  <c r="J125" i="15"/>
  <c r="J126" i="15"/>
  <c r="J127" i="15"/>
  <c r="V134" i="15"/>
  <c r="N137" i="15"/>
  <c r="J138" i="15"/>
  <c r="T18" i="16"/>
  <c r="X34" i="16"/>
  <c r="V152" i="18"/>
  <c r="V146" i="18"/>
  <c r="V142" i="18"/>
  <c r="V138" i="18"/>
  <c r="V134" i="18"/>
  <c r="V126" i="18"/>
  <c r="V122" i="18"/>
  <c r="V110" i="18"/>
  <c r="V98" i="18"/>
  <c r="V86" i="18"/>
  <c r="V74" i="18"/>
  <c r="V62" i="18"/>
  <c r="V58" i="18"/>
  <c r="V54" i="18"/>
  <c r="V46" i="18"/>
  <c r="V38" i="18"/>
  <c r="V30" i="18"/>
  <c r="V22" i="18"/>
  <c r="V157" i="18"/>
  <c r="V145" i="18"/>
  <c r="V141" i="18"/>
  <c r="V133" i="18"/>
  <c r="V129" i="18"/>
  <c r="V125" i="18"/>
  <c r="V121" i="18"/>
  <c r="V117" i="18"/>
  <c r="V109" i="18"/>
  <c r="V101" i="18"/>
  <c r="V97" i="18"/>
  <c r="V89" i="18"/>
  <c r="V85" i="18"/>
  <c r="V73" i="18"/>
  <c r="V69" i="18"/>
  <c r="V61" i="18"/>
  <c r="V53" i="18"/>
  <c r="V45" i="18"/>
  <c r="V37" i="18"/>
  <c r="V29" i="18"/>
  <c r="V21" i="18"/>
  <c r="V154" i="18"/>
  <c r="V148" i="18"/>
  <c r="V144" i="18"/>
  <c r="V132" i="18"/>
  <c r="V128" i="18"/>
  <c r="V124" i="18"/>
  <c r="V120" i="18"/>
  <c r="V116" i="18"/>
  <c r="V112" i="18"/>
  <c r="V104" i="18"/>
  <c r="V100" i="18"/>
  <c r="V92" i="18"/>
  <c r="V88" i="18"/>
  <c r="V80" i="18"/>
  <c r="V72" i="18"/>
  <c r="V68" i="18"/>
  <c r="V60" i="18"/>
  <c r="V52" i="18"/>
  <c r="V44" i="18"/>
  <c r="V36" i="18"/>
  <c r="V28" i="18"/>
  <c r="V151" i="18"/>
  <c r="V147" i="18"/>
  <c r="V143" i="18"/>
  <c r="V131" i="18"/>
  <c r="V127" i="18"/>
  <c r="V123" i="18"/>
  <c r="V119" i="18"/>
  <c r="V115" i="18"/>
  <c r="V111" i="18"/>
  <c r="V103" i="18"/>
  <c r="V99" i="18"/>
  <c r="V91" i="18"/>
  <c r="V87" i="18"/>
  <c r="V79" i="18"/>
  <c r="V71" i="18"/>
  <c r="V67" i="18"/>
  <c r="V59" i="18"/>
  <c r="V51" i="18"/>
  <c r="V43" i="18"/>
  <c r="V35" i="18"/>
  <c r="V27" i="18"/>
  <c r="V156" i="18"/>
  <c r="V130" i="18"/>
  <c r="V118" i="18"/>
  <c r="V114" i="18"/>
  <c r="V106" i="18"/>
  <c r="V102" i="18"/>
  <c r="V94" i="18"/>
  <c r="V90" i="18"/>
  <c r="V82" i="18"/>
  <c r="V78" i="18"/>
  <c r="V70" i="18"/>
  <c r="V66" i="18"/>
  <c r="V56" i="18"/>
  <c r="V50" i="18"/>
  <c r="V42" i="18"/>
  <c r="V34" i="18"/>
  <c r="V26" i="18"/>
  <c r="Z12" i="18"/>
  <c r="V161" i="18"/>
  <c r="V153" i="18"/>
  <c r="V137" i="18"/>
  <c r="V113" i="18"/>
  <c r="V105" i="18"/>
  <c r="V93" i="18"/>
  <c r="V81" i="18"/>
  <c r="V77" i="18"/>
  <c r="V65" i="18"/>
  <c r="T56" i="18"/>
  <c r="V49" i="18"/>
  <c r="V41" i="18"/>
  <c r="V33" i="18"/>
  <c r="V25" i="18"/>
  <c r="V24" i="18"/>
  <c r="V32" i="18"/>
  <c r="V40" i="18"/>
  <c r="V48" i="18"/>
  <c r="L58" i="18"/>
  <c r="V63" i="18"/>
  <c r="V76" i="18"/>
  <c r="L83" i="18"/>
  <c r="N83" i="18" s="1"/>
  <c r="Z95" i="18"/>
  <c r="Z105" i="18"/>
  <c r="X105" i="18"/>
  <c r="Z147" i="18"/>
  <c r="J34" i="19"/>
  <c r="J31" i="19"/>
  <c r="J27" i="19"/>
  <c r="J24" i="19"/>
  <c r="J21" i="19"/>
  <c r="J18" i="19"/>
  <c r="J36" i="19"/>
  <c r="J33" i="19"/>
  <c r="J29" i="19"/>
  <c r="J25" i="19"/>
  <c r="H18" i="19"/>
  <c r="J15" i="19"/>
  <c r="J22" i="19"/>
  <c r="N12" i="19"/>
  <c r="J24" i="20"/>
  <c r="J21" i="20"/>
  <c r="J18" i="20"/>
  <c r="J36" i="20"/>
  <c r="J33" i="20"/>
  <c r="J29" i="20"/>
  <c r="J25" i="20"/>
  <c r="H18" i="20"/>
  <c r="J15" i="20"/>
  <c r="J22" i="20"/>
  <c r="N12" i="20"/>
  <c r="L16" i="20"/>
  <c r="J34" i="20"/>
  <c r="Z25" i="21"/>
  <c r="V16" i="6"/>
  <c r="V20" i="6"/>
  <c r="V26" i="6"/>
  <c r="V29" i="6"/>
  <c r="Z12" i="7"/>
  <c r="F16" i="7"/>
  <c r="V16" i="7"/>
  <c r="F20" i="7"/>
  <c r="V20" i="7"/>
  <c r="J24" i="7"/>
  <c r="X12" i="8"/>
  <c r="F27" i="8"/>
  <c r="V27" i="8"/>
  <c r="F31" i="8"/>
  <c r="V31" i="8"/>
  <c r="F34" i="8"/>
  <c r="V34" i="8"/>
  <c r="X12" i="9"/>
  <c r="F19" i="9"/>
  <c r="V19" i="9"/>
  <c r="R20" i="9"/>
  <c r="F24" i="9"/>
  <c r="V27" i="9"/>
  <c r="R28" i="9"/>
  <c r="F31" i="9"/>
  <c r="V31" i="9"/>
  <c r="R32" i="9"/>
  <c r="F36" i="9"/>
  <c r="V39" i="9"/>
  <c r="R40" i="9"/>
  <c r="V43" i="9"/>
  <c r="F51" i="9"/>
  <c r="V51" i="9"/>
  <c r="R52" i="9"/>
  <c r="F56" i="9"/>
  <c r="R57" i="9"/>
  <c r="F59" i="9"/>
  <c r="V59" i="9"/>
  <c r="R60" i="9"/>
  <c r="F64" i="9"/>
  <c r="V67" i="9"/>
  <c r="V71" i="9"/>
  <c r="R72" i="9"/>
  <c r="V75" i="9"/>
  <c r="F80" i="9"/>
  <c r="V83" i="9"/>
  <c r="R84" i="9"/>
  <c r="V87" i="9"/>
  <c r="L88" i="9"/>
  <c r="N88" i="9" s="1"/>
  <c r="F93" i="9"/>
  <c r="V93" i="9"/>
  <c r="F99" i="9"/>
  <c r="V99" i="9"/>
  <c r="Z12" i="10"/>
  <c r="F16" i="10"/>
  <c r="V16" i="10"/>
  <c r="F20" i="10"/>
  <c r="V20" i="10"/>
  <c r="L21" i="10"/>
  <c r="J24" i="10"/>
  <c r="X34" i="10"/>
  <c r="X12" i="11"/>
  <c r="X24" i="11"/>
  <c r="F27" i="11"/>
  <c r="V27" i="11"/>
  <c r="F31" i="11"/>
  <c r="V31" i="11"/>
  <c r="F34" i="11"/>
  <c r="V34" i="11"/>
  <c r="V29" i="12"/>
  <c r="V37" i="12"/>
  <c r="V45" i="12"/>
  <c r="V61" i="12"/>
  <c r="V73" i="12"/>
  <c r="V81" i="12"/>
  <c r="V93" i="12"/>
  <c r="V105" i="12"/>
  <c r="V113" i="12"/>
  <c r="V137" i="12"/>
  <c r="V141" i="12"/>
  <c r="V151" i="12"/>
  <c r="X13" i="14"/>
  <c r="V34" i="15"/>
  <c r="J38" i="15"/>
  <c r="V42" i="15"/>
  <c r="J46" i="15"/>
  <c r="J52" i="15"/>
  <c r="J54" i="15"/>
  <c r="V58" i="15"/>
  <c r="J62" i="15"/>
  <c r="J66" i="15"/>
  <c r="V70" i="15"/>
  <c r="J74" i="15"/>
  <c r="V78" i="15"/>
  <c r="J82" i="15"/>
  <c r="J86" i="15"/>
  <c r="V90" i="15"/>
  <c r="J94" i="15"/>
  <c r="J98" i="15"/>
  <c r="V102" i="15"/>
  <c r="J106" i="15"/>
  <c r="J110" i="15"/>
  <c r="J114" i="15"/>
  <c r="J118" i="15"/>
  <c r="J122" i="15"/>
  <c r="V130" i="15"/>
  <c r="V131" i="15"/>
  <c r="J137" i="15"/>
  <c r="V139" i="15"/>
  <c r="V140" i="15"/>
  <c r="V144" i="15"/>
  <c r="J151" i="15"/>
  <c r="N58" i="18"/>
  <c r="V84" i="18"/>
  <c r="V95" i="18"/>
  <c r="L107" i="18"/>
  <c r="N107" i="18" s="1"/>
  <c r="V155" i="18"/>
  <c r="Z21" i="22"/>
  <c r="X21" i="22"/>
  <c r="N29" i="22"/>
  <c r="L29" i="22"/>
  <c r="T88" i="24"/>
  <c r="N74" i="24"/>
  <c r="L74" i="24"/>
  <c r="N68" i="33"/>
  <c r="J27" i="7"/>
  <c r="J31" i="7"/>
  <c r="J34" i="7"/>
  <c r="F16" i="8"/>
  <c r="V16" i="8"/>
  <c r="F20" i="8"/>
  <c r="V20" i="8"/>
  <c r="R22" i="8"/>
  <c r="Z12" i="9"/>
  <c r="R18" i="9"/>
  <c r="V20" i="9"/>
  <c r="R21" i="9"/>
  <c r="F25" i="9"/>
  <c r="V28" i="9"/>
  <c r="R29" i="9"/>
  <c r="V32" i="9"/>
  <c r="R33" i="9"/>
  <c r="F37" i="9"/>
  <c r="V40" i="9"/>
  <c r="R41" i="9"/>
  <c r="F45" i="9"/>
  <c r="R46" i="9"/>
  <c r="F48" i="9"/>
  <c r="V48" i="9"/>
  <c r="R49" i="9"/>
  <c r="V52" i="9"/>
  <c r="V60" i="9"/>
  <c r="F65" i="9"/>
  <c r="F69" i="9"/>
  <c r="V72" i="9"/>
  <c r="F77" i="9"/>
  <c r="R78" i="9"/>
  <c r="F81" i="9"/>
  <c r="V84" i="9"/>
  <c r="F89" i="9"/>
  <c r="R90" i="9"/>
  <c r="J27" i="10"/>
  <c r="J31" i="10"/>
  <c r="J34" i="10"/>
  <c r="Z12" i="11"/>
  <c r="F16" i="11"/>
  <c r="V16" i="11"/>
  <c r="F20" i="11"/>
  <c r="V20" i="11"/>
  <c r="R22" i="11"/>
  <c r="V30" i="12"/>
  <c r="V38" i="12"/>
  <c r="V46" i="12"/>
  <c r="V62" i="12"/>
  <c r="V74" i="12"/>
  <c r="V82" i="12"/>
  <c r="V94" i="12"/>
  <c r="V106" i="12"/>
  <c r="V114" i="12"/>
  <c r="V118" i="12"/>
  <c r="V138" i="12"/>
  <c r="V154" i="12"/>
  <c r="J16" i="13"/>
  <c r="R18" i="13"/>
  <c r="J20" i="13"/>
  <c r="F22" i="13"/>
  <c r="J27" i="14"/>
  <c r="J31" i="14"/>
  <c r="J34" i="14"/>
  <c r="J23" i="15"/>
  <c r="V27" i="15"/>
  <c r="J31" i="15"/>
  <c r="V35" i="15"/>
  <c r="J39" i="15"/>
  <c r="V43" i="15"/>
  <c r="J47" i="15"/>
  <c r="T50" i="15"/>
  <c r="J55" i="15"/>
  <c r="V59" i="15"/>
  <c r="J63" i="15"/>
  <c r="J67" i="15"/>
  <c r="V71" i="15"/>
  <c r="V75" i="15"/>
  <c r="J77" i="15"/>
  <c r="J83" i="15"/>
  <c r="V87" i="15"/>
  <c r="J89" i="15"/>
  <c r="J95" i="15"/>
  <c r="V99" i="15"/>
  <c r="J101" i="15"/>
  <c r="V107" i="15"/>
  <c r="J111" i="15"/>
  <c r="J115" i="15"/>
  <c r="J119" i="15"/>
  <c r="J123" i="15"/>
  <c r="V21" i="16"/>
  <c r="V18" i="16"/>
  <c r="V36" i="16"/>
  <c r="V22" i="16"/>
  <c r="V20" i="16"/>
  <c r="V16" i="16"/>
  <c r="Z12" i="16"/>
  <c r="V15" i="16"/>
  <c r="X16" i="16"/>
  <c r="V34" i="16"/>
  <c r="J58" i="18"/>
  <c r="V75" i="18"/>
  <c r="Z83" i="18"/>
  <c r="N93" i="18"/>
  <c r="V108" i="18"/>
  <c r="V136" i="18"/>
  <c r="Z47" i="21"/>
  <c r="X47" i="21"/>
  <c r="L13" i="22"/>
  <c r="Z114" i="30"/>
  <c r="J16" i="7"/>
  <c r="J20" i="7"/>
  <c r="R25" i="8"/>
  <c r="R29" i="8"/>
  <c r="R33" i="8"/>
  <c r="R36" i="8"/>
  <c r="V21" i="9"/>
  <c r="R22" i="9"/>
  <c r="F26" i="9"/>
  <c r="V29" i="9"/>
  <c r="R30" i="9"/>
  <c r="V33" i="9"/>
  <c r="R34" i="9"/>
  <c r="F38" i="9"/>
  <c r="V41" i="9"/>
  <c r="V49" i="9"/>
  <c r="R50" i="9"/>
  <c r="F54" i="9"/>
  <c r="R55" i="9"/>
  <c r="F57" i="9"/>
  <c r="V57" i="9"/>
  <c r="R58" i="9"/>
  <c r="F62" i="9"/>
  <c r="R63" i="9"/>
  <c r="F66" i="9"/>
  <c r="F70" i="9"/>
  <c r="F74" i="9"/>
  <c r="F82" i="9"/>
  <c r="F86" i="9"/>
  <c r="R95" i="9"/>
  <c r="R102" i="9"/>
  <c r="J16" i="10"/>
  <c r="J20" i="10"/>
  <c r="F22" i="10"/>
  <c r="V22" i="10"/>
  <c r="R15" i="11"/>
  <c r="P18" i="11"/>
  <c r="R25" i="11"/>
  <c r="R29" i="11"/>
  <c r="R33" i="11"/>
  <c r="R36" i="11"/>
  <c r="V23" i="12"/>
  <c r="V31" i="12"/>
  <c r="V39" i="12"/>
  <c r="V47" i="12"/>
  <c r="T54" i="12"/>
  <c r="V63" i="12"/>
  <c r="V75" i="12"/>
  <c r="V79" i="12"/>
  <c r="V91" i="12"/>
  <c r="V103" i="12"/>
  <c r="V111" i="12"/>
  <c r="V115" i="12"/>
  <c r="V119" i="12"/>
  <c r="V123" i="12"/>
  <c r="V131" i="12"/>
  <c r="L12" i="13"/>
  <c r="F15" i="13"/>
  <c r="D18" i="13"/>
  <c r="R21" i="13"/>
  <c r="F25" i="13"/>
  <c r="F29" i="13"/>
  <c r="F33" i="13"/>
  <c r="F36" i="13"/>
  <c r="J16" i="14"/>
  <c r="J20" i="14"/>
  <c r="F22" i="14"/>
  <c r="V22" i="14"/>
  <c r="J147" i="15"/>
  <c r="J134" i="15"/>
  <c r="J133" i="15"/>
  <c r="J129" i="15"/>
  <c r="J153" i="15"/>
  <c r="J148" i="15"/>
  <c r="J135" i="15"/>
  <c r="J24" i="15"/>
  <c r="V28" i="15"/>
  <c r="J32" i="15"/>
  <c r="V36" i="15"/>
  <c r="J40" i="15"/>
  <c r="V44" i="15"/>
  <c r="J48" i="15"/>
  <c r="V50" i="15"/>
  <c r="J56" i="15"/>
  <c r="V60" i="15"/>
  <c r="V64" i="15"/>
  <c r="J68" i="15"/>
  <c r="V72" i="15"/>
  <c r="V76" i="15"/>
  <c r="J80" i="15"/>
  <c r="V84" i="15"/>
  <c r="V88" i="15"/>
  <c r="J92" i="15"/>
  <c r="V96" i="15"/>
  <c r="V100" i="15"/>
  <c r="J104" i="15"/>
  <c r="V108" i="15"/>
  <c r="V112" i="15"/>
  <c r="J116" i="15"/>
  <c r="J120" i="15"/>
  <c r="V124" i="15"/>
  <c r="V126" i="15"/>
  <c r="V127" i="15"/>
  <c r="V128" i="15"/>
  <c r="V135" i="15"/>
  <c r="V136" i="15"/>
  <c r="X12" i="16"/>
  <c r="V25" i="16"/>
  <c r="V29" i="16"/>
  <c r="V33" i="16"/>
  <c r="N21" i="17"/>
  <c r="L21" i="17"/>
  <c r="V83" i="18"/>
  <c r="Z123" i="18"/>
  <c r="Z150" i="18"/>
  <c r="T18" i="19"/>
  <c r="D12" i="21"/>
  <c r="N49" i="21"/>
  <c r="L49" i="21"/>
  <c r="Z70" i="21"/>
  <c r="N33" i="22"/>
  <c r="L33" i="22"/>
  <c r="N32" i="24"/>
  <c r="L13" i="25"/>
  <c r="X24" i="33"/>
  <c r="Z24" i="33" s="1"/>
  <c r="T27" i="37"/>
  <c r="V18" i="6"/>
  <c r="V22" i="6"/>
  <c r="V24" i="6"/>
  <c r="V28" i="6"/>
  <c r="N12" i="7"/>
  <c r="L12" i="8"/>
  <c r="F15" i="8"/>
  <c r="V15" i="8"/>
  <c r="D18" i="8"/>
  <c r="T18" i="8"/>
  <c r="F25" i="8"/>
  <c r="V25" i="8"/>
  <c r="F29" i="8"/>
  <c r="V29" i="8"/>
  <c r="F33" i="8"/>
  <c r="V33" i="8"/>
  <c r="L12" i="9"/>
  <c r="F20" i="9"/>
  <c r="V23" i="9"/>
  <c r="R24" i="9"/>
  <c r="F28" i="9"/>
  <c r="F32" i="9"/>
  <c r="V35" i="9"/>
  <c r="R36" i="9"/>
  <c r="F40" i="9"/>
  <c r="V47" i="9"/>
  <c r="F52" i="9"/>
  <c r="R53" i="9"/>
  <c r="F55" i="9"/>
  <c r="V55" i="9"/>
  <c r="R56" i="9"/>
  <c r="F60" i="9"/>
  <c r="R61" i="9"/>
  <c r="F63" i="9"/>
  <c r="V63" i="9"/>
  <c r="R64" i="9"/>
  <c r="F72" i="9"/>
  <c r="R73" i="9"/>
  <c r="V79" i="9"/>
  <c r="R80" i="9"/>
  <c r="F84" i="9"/>
  <c r="V91" i="9"/>
  <c r="F95" i="9"/>
  <c r="V95" i="9"/>
  <c r="V97" i="9"/>
  <c r="N12" i="10"/>
  <c r="L12" i="11"/>
  <c r="F15" i="11"/>
  <c r="V15" i="11"/>
  <c r="D18" i="11"/>
  <c r="T18" i="11"/>
  <c r="F25" i="11"/>
  <c r="V25" i="11"/>
  <c r="F29" i="11"/>
  <c r="V29" i="11"/>
  <c r="F33" i="11"/>
  <c r="V33" i="11"/>
  <c r="V25" i="12"/>
  <c r="V33" i="12"/>
  <c r="V41" i="12"/>
  <c r="V49" i="12"/>
  <c r="V57" i="12"/>
  <c r="V65" i="12"/>
  <c r="V69" i="12"/>
  <c r="V77" i="12"/>
  <c r="V85" i="12"/>
  <c r="V89" i="12"/>
  <c r="V97" i="12"/>
  <c r="V101" i="12"/>
  <c r="V109" i="12"/>
  <c r="V117" i="12"/>
  <c r="V121" i="12"/>
  <c r="V125" i="12"/>
  <c r="V129" i="12"/>
  <c r="V133" i="12"/>
  <c r="V145" i="12"/>
  <c r="V149" i="12"/>
  <c r="J15" i="13"/>
  <c r="H18" i="13"/>
  <c r="J25" i="13"/>
  <c r="R27" i="13"/>
  <c r="J29" i="13"/>
  <c r="R31" i="13"/>
  <c r="J33" i="13"/>
  <c r="N12" i="14"/>
  <c r="N12" i="15"/>
  <c r="V22" i="15"/>
  <c r="J26" i="15"/>
  <c r="V30" i="15"/>
  <c r="J34" i="15"/>
  <c r="V38" i="15"/>
  <c r="J42" i="15"/>
  <c r="V46" i="15"/>
  <c r="J50" i="15"/>
  <c r="V54" i="15"/>
  <c r="J58" i="15"/>
  <c r="V62" i="15"/>
  <c r="J64" i="15"/>
  <c r="V66" i="15"/>
  <c r="J70" i="15"/>
  <c r="V74" i="15"/>
  <c r="J78" i="15"/>
  <c r="V82" i="15"/>
  <c r="J84" i="15"/>
  <c r="V86" i="15"/>
  <c r="J90" i="15"/>
  <c r="V94" i="15"/>
  <c r="J96" i="15"/>
  <c r="V98" i="15"/>
  <c r="J102" i="15"/>
  <c r="V106" i="15"/>
  <c r="V110" i="15"/>
  <c r="J112" i="15"/>
  <c r="V114" i="15"/>
  <c r="V118" i="15"/>
  <c r="V122" i="15"/>
  <c r="J124" i="15"/>
  <c r="J140" i="15"/>
  <c r="J144" i="15"/>
  <c r="L13" i="16"/>
  <c r="R24" i="17"/>
  <c r="R21" i="17"/>
  <c r="R18" i="17"/>
  <c r="R36" i="17"/>
  <c r="R33" i="17"/>
  <c r="R29" i="17"/>
  <c r="R25" i="17"/>
  <c r="P18" i="17"/>
  <c r="R15" i="17"/>
  <c r="R22" i="17"/>
  <c r="X12" i="17"/>
  <c r="N18" i="17"/>
  <c r="R20" i="17"/>
  <c r="Z93" i="18"/>
  <c r="X93" i="18"/>
  <c r="N105" i="18"/>
  <c r="V139" i="18"/>
  <c r="X22" i="20"/>
  <c r="Z25" i="20"/>
  <c r="X25" i="20"/>
  <c r="Z29" i="20"/>
  <c r="X29" i="20"/>
  <c r="Z33" i="20"/>
  <c r="X33" i="20"/>
  <c r="X58" i="21"/>
  <c r="Z58" i="21" s="1"/>
  <c r="N85" i="21"/>
  <c r="L85" i="21"/>
  <c r="D27" i="22"/>
  <c r="N22" i="23"/>
  <c r="L22" i="23"/>
  <c r="X24" i="23"/>
  <c r="X45" i="27"/>
  <c r="Z45" i="27" s="1"/>
  <c r="N74" i="27"/>
  <c r="Z19" i="30"/>
  <c r="X19" i="30"/>
  <c r="X13" i="33"/>
  <c r="Z13" i="33" s="1"/>
  <c r="P12" i="33"/>
  <c r="D31" i="34"/>
  <c r="D144" i="15"/>
  <c r="L144" i="15" s="1"/>
  <c r="N144" i="15" s="1"/>
  <c r="R22" i="16"/>
  <c r="J21" i="17"/>
  <c r="F27" i="17"/>
  <c r="F31" i="17"/>
  <c r="F34" i="17"/>
  <c r="J29" i="18"/>
  <c r="J37" i="18"/>
  <c r="J45" i="18"/>
  <c r="J53" i="18"/>
  <c r="J61" i="18"/>
  <c r="J69" i="18"/>
  <c r="J73" i="18"/>
  <c r="J83" i="18"/>
  <c r="J89" i="18"/>
  <c r="J95" i="18"/>
  <c r="J101" i="18"/>
  <c r="J107" i="18"/>
  <c r="J117" i="18"/>
  <c r="J121" i="18"/>
  <c r="J125" i="18"/>
  <c r="J129" i="18"/>
  <c r="J133" i="18"/>
  <c r="J145" i="18"/>
  <c r="J152" i="18"/>
  <c r="F18" i="19"/>
  <c r="V18" i="19"/>
  <c r="R24" i="19"/>
  <c r="V15" i="20"/>
  <c r="T18" i="20"/>
  <c r="R21" i="20"/>
  <c r="V25" i="20"/>
  <c r="V29" i="20"/>
  <c r="V33" i="20"/>
  <c r="V36" i="20"/>
  <c r="V31" i="21"/>
  <c r="V43" i="21"/>
  <c r="V47" i="21"/>
  <c r="V59" i="21"/>
  <c r="V71" i="21"/>
  <c r="V75" i="21"/>
  <c r="V83" i="21"/>
  <c r="J15" i="22"/>
  <c r="H18" i="22"/>
  <c r="L18" i="22" s="1"/>
  <c r="V21" i="22"/>
  <c r="J25" i="22"/>
  <c r="R27" i="22"/>
  <c r="J29" i="22"/>
  <c r="R31" i="22"/>
  <c r="J33" i="22"/>
  <c r="R34" i="22"/>
  <c r="J36" i="22"/>
  <c r="F18" i="23"/>
  <c r="V18" i="23"/>
  <c r="L24" i="23"/>
  <c r="F31" i="23"/>
  <c r="F33" i="23"/>
  <c r="V34" i="23"/>
  <c r="D12" i="24"/>
  <c r="Z25" i="26"/>
  <c r="X25" i="26"/>
  <c r="Z29" i="26"/>
  <c r="X29" i="26"/>
  <c r="Z33" i="26"/>
  <c r="X33" i="26"/>
  <c r="N33" i="27"/>
  <c r="Z60" i="27"/>
  <c r="X66" i="27"/>
  <c r="Z66" i="27" s="1"/>
  <c r="L68" i="27"/>
  <c r="N68" i="27" s="1"/>
  <c r="L88" i="30"/>
  <c r="N88" i="30" s="1"/>
  <c r="H27" i="31"/>
  <c r="N18" i="31"/>
  <c r="J24" i="17"/>
  <c r="J22" i="18"/>
  <c r="J30" i="18"/>
  <c r="J38" i="18"/>
  <c r="J46" i="18"/>
  <c r="J54" i="18"/>
  <c r="J62" i="18"/>
  <c r="J74" i="18"/>
  <c r="J86" i="18"/>
  <c r="J98" i="18"/>
  <c r="J110" i="18"/>
  <c r="J122" i="18"/>
  <c r="J126" i="18"/>
  <c r="J134" i="18"/>
  <c r="J142" i="18"/>
  <c r="J146" i="18"/>
  <c r="J150" i="18"/>
  <c r="J155" i="18"/>
  <c r="R27" i="19"/>
  <c r="R31" i="19"/>
  <c r="R34" i="19"/>
  <c r="V18" i="20"/>
  <c r="T23" i="21"/>
  <c r="V32" i="21"/>
  <c r="V36" i="21"/>
  <c r="V44" i="21"/>
  <c r="V48" i="21"/>
  <c r="V56" i="21"/>
  <c r="V64" i="21"/>
  <c r="V68" i="21"/>
  <c r="V72" i="21"/>
  <c r="V76" i="21"/>
  <c r="V80" i="21"/>
  <c r="V84" i="21"/>
  <c r="V24" i="22"/>
  <c r="R36" i="23"/>
  <c r="R33" i="23"/>
  <c r="R29" i="23"/>
  <c r="R25" i="23"/>
  <c r="R24" i="23"/>
  <c r="R27" i="23"/>
  <c r="L42" i="24"/>
  <c r="N42" i="24" s="1"/>
  <c r="Z13" i="26"/>
  <c r="X13" i="26"/>
  <c r="J22" i="28"/>
  <c r="N12" i="28"/>
  <c r="L12" i="28"/>
  <c r="J34" i="28"/>
  <c r="J31" i="28"/>
  <c r="J27" i="28"/>
  <c r="J24" i="28"/>
  <c r="J21" i="28"/>
  <c r="J18" i="28"/>
  <c r="J16" i="28"/>
  <c r="N15" i="29"/>
  <c r="L15" i="29"/>
  <c r="Z21" i="29"/>
  <c r="X21" i="29"/>
  <c r="D114" i="30"/>
  <c r="L114" i="30" s="1"/>
  <c r="N114" i="30" s="1"/>
  <c r="L115" i="30"/>
  <c r="N115" i="30" s="1"/>
  <c r="F66" i="33"/>
  <c r="F62" i="33"/>
  <c r="F58" i="33"/>
  <c r="F42" i="33"/>
  <c r="F30" i="33"/>
  <c r="F25" i="33"/>
  <c r="L12" i="33"/>
  <c r="N12" i="33" s="1"/>
  <c r="F69" i="33"/>
  <c r="F65" i="33"/>
  <c r="F52" i="33"/>
  <c r="F49" i="33"/>
  <c r="F41" i="33"/>
  <c r="F29" i="33"/>
  <c r="F72" i="33"/>
  <c r="F51" i="33"/>
  <c r="F46" i="33"/>
  <c r="F39" i="33"/>
  <c r="F27" i="33"/>
  <c r="F61" i="33"/>
  <c r="F57" i="33"/>
  <c r="F54" i="33"/>
  <c r="F38" i="33"/>
  <c r="F34" i="33"/>
  <c r="F26" i="33"/>
  <c r="F68" i="33"/>
  <c r="F53" i="33"/>
  <c r="F48" i="33"/>
  <c r="F45" i="33"/>
  <c r="F37" i="33"/>
  <c r="F33" i="33"/>
  <c r="F24" i="33"/>
  <c r="F64" i="33"/>
  <c r="F44" i="33"/>
  <c r="F43" i="33"/>
  <c r="F40" i="33"/>
  <c r="F32" i="33"/>
  <c r="F31" i="33"/>
  <c r="F28" i="33"/>
  <c r="D22" i="33"/>
  <c r="F22" i="33" s="1"/>
  <c r="F56" i="33"/>
  <c r="F47" i="33"/>
  <c r="F76" i="33"/>
  <c r="F59" i="33"/>
  <c r="F55" i="33"/>
  <c r="F36" i="33"/>
  <c r="F60" i="33"/>
  <c r="F50" i="33"/>
  <c r="F35" i="33"/>
  <c r="X48" i="33"/>
  <c r="Z48" i="33" s="1"/>
  <c r="J27" i="17"/>
  <c r="J31" i="17"/>
  <c r="J34" i="17"/>
  <c r="D12" i="18"/>
  <c r="J23" i="18"/>
  <c r="J31" i="18"/>
  <c r="J39" i="18"/>
  <c r="J47" i="18"/>
  <c r="H56" i="18"/>
  <c r="J63" i="18"/>
  <c r="J75" i="18"/>
  <c r="J81" i="18"/>
  <c r="J93" i="18"/>
  <c r="J105" i="18"/>
  <c r="J113" i="18"/>
  <c r="J135" i="18"/>
  <c r="J139" i="18"/>
  <c r="R16" i="19"/>
  <c r="R20" i="19"/>
  <c r="F24" i="19"/>
  <c r="V24" i="19"/>
  <c r="V21" i="20"/>
  <c r="R27" i="20"/>
  <c r="R31" i="20"/>
  <c r="R34" i="20"/>
  <c r="P12" i="21"/>
  <c r="V23" i="21"/>
  <c r="V33" i="21"/>
  <c r="V37" i="21"/>
  <c r="V45" i="21"/>
  <c r="V53" i="21"/>
  <c r="V57" i="21"/>
  <c r="V65" i="21"/>
  <c r="V69" i="21"/>
  <c r="V73" i="21"/>
  <c r="V77" i="21"/>
  <c r="V81" i="21"/>
  <c r="X12" i="22"/>
  <c r="V27" i="22"/>
  <c r="V31" i="22"/>
  <c r="V34" i="22"/>
  <c r="R16" i="23"/>
  <c r="R20" i="23"/>
  <c r="F34" i="23"/>
  <c r="F36" i="23"/>
  <c r="Z68" i="24"/>
  <c r="X68" i="24"/>
  <c r="Z74" i="24"/>
  <c r="X77" i="27"/>
  <c r="Z77" i="27" s="1"/>
  <c r="R24" i="28"/>
  <c r="R21" i="28"/>
  <c r="R36" i="28"/>
  <c r="R33" i="28"/>
  <c r="R29" i="28"/>
  <c r="R25" i="28"/>
  <c r="P18" i="28"/>
  <c r="R15" i="28"/>
  <c r="R22" i="28"/>
  <c r="X12" i="28"/>
  <c r="R20" i="28"/>
  <c r="R16" i="28"/>
  <c r="T27" i="28"/>
  <c r="J29" i="28"/>
  <c r="L42" i="30"/>
  <c r="N42" i="30" s="1"/>
  <c r="Z64" i="30"/>
  <c r="N66" i="30"/>
  <c r="N80" i="30"/>
  <c r="X88" i="30"/>
  <c r="Z88" i="30" s="1"/>
  <c r="F63" i="33"/>
  <c r="N21" i="35"/>
  <c r="L21" i="35"/>
  <c r="N19" i="42"/>
  <c r="J19" i="42"/>
  <c r="J16" i="17"/>
  <c r="J20" i="17"/>
  <c r="J24" i="18"/>
  <c r="J32" i="18"/>
  <c r="J40" i="18"/>
  <c r="J48" i="18"/>
  <c r="J56" i="18"/>
  <c r="J64" i="18"/>
  <c r="J70" i="18"/>
  <c r="J76" i="18"/>
  <c r="J84" i="18"/>
  <c r="J90" i="18"/>
  <c r="J96" i="18"/>
  <c r="J102" i="18"/>
  <c r="J108" i="18"/>
  <c r="J118" i="18"/>
  <c r="J130" i="18"/>
  <c r="J136" i="18"/>
  <c r="J140" i="18"/>
  <c r="J153" i="18"/>
  <c r="V24" i="20"/>
  <c r="V18" i="21"/>
  <c r="V26" i="21"/>
  <c r="V34" i="21"/>
  <c r="V38" i="21"/>
  <c r="V46" i="21"/>
  <c r="V54" i="21"/>
  <c r="V62" i="21"/>
  <c r="V66" i="21"/>
  <c r="V78" i="21"/>
  <c r="V82" i="21"/>
  <c r="V88" i="21"/>
  <c r="Z12" i="22"/>
  <c r="V16" i="22"/>
  <c r="V20" i="22"/>
  <c r="X12" i="23"/>
  <c r="R31" i="23"/>
  <c r="D12" i="27"/>
  <c r="L13" i="27"/>
  <c r="N13" i="27" s="1"/>
  <c r="Z24" i="28"/>
  <c r="X24" i="28"/>
  <c r="F36" i="29"/>
  <c r="F33" i="29"/>
  <c r="F29" i="29"/>
  <c r="F25" i="29"/>
  <c r="D18" i="29"/>
  <c r="F15" i="29"/>
  <c r="L12" i="29"/>
  <c r="F22" i="29"/>
  <c r="F20" i="29"/>
  <c r="F16" i="29"/>
  <c r="F34" i="29"/>
  <c r="F31" i="29"/>
  <c r="F27" i="29"/>
  <c r="F24" i="29"/>
  <c r="F21" i="29"/>
  <c r="N25" i="29"/>
  <c r="L25" i="29"/>
  <c r="X84" i="30"/>
  <c r="Z84" i="30" s="1"/>
  <c r="X108" i="30"/>
  <c r="Z108" i="30" s="1"/>
  <c r="Z19" i="33"/>
  <c r="V19" i="33"/>
  <c r="T22" i="33"/>
  <c r="N46" i="33"/>
  <c r="N13" i="34"/>
  <c r="L13" i="34"/>
  <c r="R24" i="35"/>
  <c r="R21" i="35"/>
  <c r="R18" i="35"/>
  <c r="R36" i="35"/>
  <c r="R33" i="35"/>
  <c r="R29" i="35"/>
  <c r="R25" i="35"/>
  <c r="P18" i="35"/>
  <c r="R15" i="35"/>
  <c r="R22" i="35"/>
  <c r="X12" i="35"/>
  <c r="R16" i="35"/>
  <c r="R31" i="35"/>
  <c r="R20" i="35"/>
  <c r="D27" i="35"/>
  <c r="J56" i="36"/>
  <c r="N13" i="37"/>
  <c r="L13" i="37"/>
  <c r="R24" i="16"/>
  <c r="L12" i="17"/>
  <c r="F15" i="17"/>
  <c r="D18" i="17"/>
  <c r="L20" i="17"/>
  <c r="F25" i="17"/>
  <c r="F29" i="17"/>
  <c r="F33" i="17"/>
  <c r="F36" i="17"/>
  <c r="J25" i="18"/>
  <c r="J33" i="18"/>
  <c r="J41" i="18"/>
  <c r="J49" i="18"/>
  <c r="J59" i="18"/>
  <c r="J65" i="18"/>
  <c r="J77" i="18"/>
  <c r="J87" i="18"/>
  <c r="J99" i="18"/>
  <c r="J111" i="18"/>
  <c r="J123" i="18"/>
  <c r="J127" i="18"/>
  <c r="J137" i="18"/>
  <c r="J143" i="18"/>
  <c r="J147" i="18"/>
  <c r="J156" i="18"/>
  <c r="J161" i="18"/>
  <c r="Z12" i="19"/>
  <c r="F16" i="19"/>
  <c r="V16" i="19"/>
  <c r="R22" i="19"/>
  <c r="X12" i="20"/>
  <c r="V27" i="20"/>
  <c r="V31" i="20"/>
  <c r="V34" i="20"/>
  <c r="V19" i="21"/>
  <c r="V27" i="21"/>
  <c r="V35" i="21"/>
  <c r="L36" i="21"/>
  <c r="N36" i="21" s="1"/>
  <c r="V39" i="21"/>
  <c r="V51" i="21"/>
  <c r="V55" i="21"/>
  <c r="L56" i="21"/>
  <c r="N56" i="21" s="1"/>
  <c r="X62" i="21"/>
  <c r="Z62" i="21" s="1"/>
  <c r="V63" i="21"/>
  <c r="L64" i="21"/>
  <c r="V67" i="21"/>
  <c r="L68" i="21"/>
  <c r="N68" i="21" s="1"/>
  <c r="V79" i="21"/>
  <c r="L80" i="21"/>
  <c r="N80" i="21" s="1"/>
  <c r="R15" i="22"/>
  <c r="X16" i="22"/>
  <c r="P18" i="22"/>
  <c r="X20" i="22"/>
  <c r="L24" i="22"/>
  <c r="R25" i="22"/>
  <c r="J27" i="22"/>
  <c r="R29" i="22"/>
  <c r="J31" i="22"/>
  <c r="R33" i="22"/>
  <c r="J34" i="22"/>
  <c r="Z12" i="23"/>
  <c r="F16" i="23"/>
  <c r="V16" i="23"/>
  <c r="F20" i="23"/>
  <c r="V20" i="23"/>
  <c r="L21" i="23"/>
  <c r="R22" i="23"/>
  <c r="P12" i="24"/>
  <c r="N57" i="24"/>
  <c r="N22" i="25"/>
  <c r="L22" i="25"/>
  <c r="X16" i="26"/>
  <c r="X58" i="27"/>
  <c r="Z58" i="27" s="1"/>
  <c r="L60" i="27"/>
  <c r="N60" i="27" s="1"/>
  <c r="Z68" i="27"/>
  <c r="P81" i="27"/>
  <c r="X81" i="27" s="1"/>
  <c r="Z81" i="27" s="1"/>
  <c r="X82" i="27"/>
  <c r="Z82" i="27" s="1"/>
  <c r="D18" i="28"/>
  <c r="L15" i="28"/>
  <c r="Z15" i="28"/>
  <c r="X29" i="28"/>
  <c r="J36" i="28"/>
  <c r="N29" i="29"/>
  <c r="L29" i="29"/>
  <c r="Z66" i="30"/>
  <c r="Z72" i="30"/>
  <c r="N74" i="30"/>
  <c r="Z80" i="30"/>
  <c r="N86" i="30"/>
  <c r="V18" i="31"/>
  <c r="V36" i="31"/>
  <c r="V33" i="31"/>
  <c r="V29" i="31"/>
  <c r="V25" i="31"/>
  <c r="V34" i="31"/>
  <c r="V31" i="31"/>
  <c r="V27" i="31"/>
  <c r="V21" i="31"/>
  <c r="Z12" i="31"/>
  <c r="V24" i="31"/>
  <c r="V22" i="31"/>
  <c r="T18" i="31"/>
  <c r="V16" i="31"/>
  <c r="R34" i="35"/>
  <c r="R27" i="16"/>
  <c r="R31" i="16"/>
  <c r="N12" i="17"/>
  <c r="J26" i="18"/>
  <c r="J34" i="18"/>
  <c r="J42" i="18"/>
  <c r="J50" i="18"/>
  <c r="J66" i="18"/>
  <c r="J78" i="18"/>
  <c r="J82" i="18"/>
  <c r="J94" i="18"/>
  <c r="J106" i="18"/>
  <c r="J114" i="18"/>
  <c r="R15" i="19"/>
  <c r="P18" i="19"/>
  <c r="R25" i="19"/>
  <c r="R29" i="19"/>
  <c r="R33" i="19"/>
  <c r="Z12" i="20"/>
  <c r="V16" i="20"/>
  <c r="V20" i="21"/>
  <c r="V28" i="21"/>
  <c r="V40" i="21"/>
  <c r="V52" i="21"/>
  <c r="J16" i="22"/>
  <c r="R15" i="23"/>
  <c r="P18" i="23"/>
  <c r="V29" i="23"/>
  <c r="V31" i="23"/>
  <c r="N33" i="24"/>
  <c r="X53" i="24"/>
  <c r="Z53" i="24" s="1"/>
  <c r="L55" i="24"/>
  <c r="L24" i="26"/>
  <c r="T87" i="27"/>
  <c r="N81" i="27"/>
  <c r="J33" i="28"/>
  <c r="N33" i="29"/>
  <c r="L33" i="29"/>
  <c r="X14" i="30"/>
  <c r="P12" i="30"/>
  <c r="X43" i="30"/>
  <c r="Z43" i="30" s="1"/>
  <c r="F20" i="33"/>
  <c r="J20" i="24"/>
  <c r="V24" i="24"/>
  <c r="J28" i="24"/>
  <c r="V30" i="24"/>
  <c r="J36" i="24"/>
  <c r="V40" i="24"/>
  <c r="J42" i="24"/>
  <c r="V44" i="24"/>
  <c r="J48" i="24"/>
  <c r="V52" i="24"/>
  <c r="J56" i="24"/>
  <c r="V60" i="24"/>
  <c r="J62" i="24"/>
  <c r="V68" i="24"/>
  <c r="V72" i="24"/>
  <c r="J74" i="24"/>
  <c r="V76" i="24"/>
  <c r="V80" i="24"/>
  <c r="V84" i="24"/>
  <c r="V86" i="24"/>
  <c r="N12" i="25"/>
  <c r="F18" i="25"/>
  <c r="V18" i="25"/>
  <c r="J22" i="25"/>
  <c r="R24" i="25"/>
  <c r="L12" i="26"/>
  <c r="F15" i="26"/>
  <c r="V15" i="26"/>
  <c r="D18" i="26"/>
  <c r="T18" i="26"/>
  <c r="R21" i="26"/>
  <c r="F25" i="26"/>
  <c r="V25" i="26"/>
  <c r="F29" i="26"/>
  <c r="V29" i="26"/>
  <c r="F33" i="26"/>
  <c r="V33" i="26"/>
  <c r="F36" i="26"/>
  <c r="V36" i="26"/>
  <c r="V25" i="27"/>
  <c r="V31" i="27"/>
  <c r="V41" i="27"/>
  <c r="V45" i="27"/>
  <c r="V53" i="27"/>
  <c r="V57" i="27"/>
  <c r="V65" i="27"/>
  <c r="V77" i="27"/>
  <c r="F24" i="28"/>
  <c r="V24" i="28"/>
  <c r="J15" i="29"/>
  <c r="H18" i="29"/>
  <c r="V21" i="29"/>
  <c r="J25" i="29"/>
  <c r="R27" i="29"/>
  <c r="J29" i="29"/>
  <c r="R31" i="29"/>
  <c r="J33" i="29"/>
  <c r="R34" i="29"/>
  <c r="J36" i="29"/>
  <c r="V19" i="30"/>
  <c r="J23" i="30"/>
  <c r="V27" i="30"/>
  <c r="J31" i="30"/>
  <c r="V35" i="30"/>
  <c r="H40" i="30"/>
  <c r="V43" i="30"/>
  <c r="J47" i="30"/>
  <c r="V51" i="30"/>
  <c r="J53" i="30"/>
  <c r="V55" i="30"/>
  <c r="J59" i="30"/>
  <c r="V63" i="30"/>
  <c r="J67" i="30"/>
  <c r="V71" i="30"/>
  <c r="J75" i="30"/>
  <c r="J81" i="30"/>
  <c r="V84" i="30"/>
  <c r="V85" i="30"/>
  <c r="J89" i="30"/>
  <c r="J90" i="30"/>
  <c r="J103" i="30"/>
  <c r="J105" i="30"/>
  <c r="V108" i="30"/>
  <c r="V109" i="30"/>
  <c r="J15" i="31"/>
  <c r="X24" i="31"/>
  <c r="X29" i="31"/>
  <c r="X12" i="32"/>
  <c r="L20" i="32"/>
  <c r="R31" i="32"/>
  <c r="R36" i="32"/>
  <c r="Z46" i="33"/>
  <c r="V21" i="34"/>
  <c r="V18" i="34"/>
  <c r="V36" i="34"/>
  <c r="V33" i="34"/>
  <c r="V29" i="34"/>
  <c r="V25" i="34"/>
  <c r="V22" i="34"/>
  <c r="V20" i="34"/>
  <c r="V16" i="34"/>
  <c r="Z12" i="34"/>
  <c r="V15" i="34"/>
  <c r="L22" i="34"/>
  <c r="N24" i="34"/>
  <c r="L24" i="34"/>
  <c r="V34" i="34"/>
  <c r="Z34" i="35"/>
  <c r="X34" i="35"/>
  <c r="N27" i="36"/>
  <c r="V37" i="36"/>
  <c r="R52" i="36"/>
  <c r="R55" i="36"/>
  <c r="V66" i="36"/>
  <c r="R71" i="36"/>
  <c r="X18" i="37"/>
  <c r="L22" i="37"/>
  <c r="D18" i="38"/>
  <c r="F29" i="39"/>
  <c r="L34" i="43"/>
  <c r="Z52" i="45"/>
  <c r="X63" i="48"/>
  <c r="Z63" i="48" s="1"/>
  <c r="L60" i="57"/>
  <c r="N60" i="57"/>
  <c r="V25" i="24"/>
  <c r="H30" i="24"/>
  <c r="V33" i="24"/>
  <c r="J37" i="24"/>
  <c r="V41" i="24"/>
  <c r="V45" i="24"/>
  <c r="J49" i="24"/>
  <c r="V57" i="24"/>
  <c r="J59" i="24"/>
  <c r="V61" i="24"/>
  <c r="J65" i="24"/>
  <c r="V69" i="24"/>
  <c r="J71" i="24"/>
  <c r="V73" i="24"/>
  <c r="V77" i="24"/>
  <c r="J79" i="24"/>
  <c r="H18" i="25"/>
  <c r="V21" i="25"/>
  <c r="J25" i="25"/>
  <c r="R27" i="25"/>
  <c r="J29" i="25"/>
  <c r="R31" i="25"/>
  <c r="J33" i="25"/>
  <c r="R34" i="25"/>
  <c r="J36" i="25"/>
  <c r="R24" i="26"/>
  <c r="V34" i="27"/>
  <c r="V42" i="27"/>
  <c r="V46" i="27"/>
  <c r="V54" i="27"/>
  <c r="V62" i="27"/>
  <c r="V74" i="27"/>
  <c r="V78" i="27"/>
  <c r="V82" i="27"/>
  <c r="V24" i="29"/>
  <c r="V121" i="30"/>
  <c r="V94" i="30"/>
  <c r="V90" i="30"/>
  <c r="V86" i="30"/>
  <c r="V78" i="30"/>
  <c r="V114" i="30"/>
  <c r="V104" i="30"/>
  <c r="V100" i="30"/>
  <c r="V96" i="30"/>
  <c r="V92" i="30"/>
  <c r="V88" i="30"/>
  <c r="V80" i="30"/>
  <c r="V20" i="30"/>
  <c r="V28" i="30"/>
  <c r="V36" i="30"/>
  <c r="V44" i="30"/>
  <c r="J48" i="30"/>
  <c r="V52" i="30"/>
  <c r="V56" i="30"/>
  <c r="J60" i="30"/>
  <c r="V68" i="30"/>
  <c r="J70" i="30"/>
  <c r="J76" i="30"/>
  <c r="N82" i="30"/>
  <c r="J83" i="30"/>
  <c r="V95" i="30"/>
  <c r="Z98" i="30"/>
  <c r="V99" i="30"/>
  <c r="J104" i="30"/>
  <c r="N106" i="30"/>
  <c r="J107" i="30"/>
  <c r="J115" i="30"/>
  <c r="J116" i="30"/>
  <c r="J121" i="30"/>
  <c r="J22" i="31"/>
  <c r="N12" i="31"/>
  <c r="J34" i="31"/>
  <c r="J31" i="31"/>
  <c r="J27" i="31"/>
  <c r="J21" i="31"/>
  <c r="L15" i="32"/>
  <c r="R29" i="32"/>
  <c r="N50" i="33"/>
  <c r="L50" i="33"/>
  <c r="Z16" i="34"/>
  <c r="X16" i="34"/>
  <c r="R109" i="36"/>
  <c r="R93" i="36"/>
  <c r="R85" i="36"/>
  <c r="R77" i="36"/>
  <c r="R57" i="36"/>
  <c r="R54" i="36"/>
  <c r="R49" i="36"/>
  <c r="R41" i="36"/>
  <c r="R37" i="36"/>
  <c r="R29" i="36"/>
  <c r="R21" i="36"/>
  <c r="R112" i="36"/>
  <c r="R105" i="36"/>
  <c r="R92" i="36"/>
  <c r="R88" i="36"/>
  <c r="R84" i="36"/>
  <c r="R80" i="36"/>
  <c r="R76" i="36"/>
  <c r="R73" i="36"/>
  <c r="R68" i="36"/>
  <c r="R65" i="36"/>
  <c r="R60" i="36"/>
  <c r="R48" i="36"/>
  <c r="R40" i="36"/>
  <c r="R36" i="36"/>
  <c r="R108" i="36"/>
  <c r="R99" i="36"/>
  <c r="R91" i="36"/>
  <c r="R83" i="36"/>
  <c r="R56" i="36"/>
  <c r="R51" i="36"/>
  <c r="R47" i="36"/>
  <c r="R35" i="36"/>
  <c r="R28" i="36"/>
  <c r="R20" i="36"/>
  <c r="R114" i="36"/>
  <c r="R102" i="36"/>
  <c r="R98" i="36"/>
  <c r="R90" i="36"/>
  <c r="R87" i="36"/>
  <c r="R82" i="36"/>
  <c r="R79" i="36"/>
  <c r="R75" i="36"/>
  <c r="R70" i="36"/>
  <c r="R67" i="36"/>
  <c r="R62" i="36"/>
  <c r="R59" i="36"/>
  <c r="R46" i="36"/>
  <c r="R39" i="36"/>
  <c r="R34" i="36"/>
  <c r="R101" i="36"/>
  <c r="R97" i="36"/>
  <c r="R53" i="36"/>
  <c r="R50" i="36"/>
  <c r="R45" i="36"/>
  <c r="R33" i="36"/>
  <c r="P25" i="36"/>
  <c r="R111" i="36"/>
  <c r="R104" i="36"/>
  <c r="R96" i="36"/>
  <c r="R89" i="36"/>
  <c r="R81" i="36"/>
  <c r="R72" i="36"/>
  <c r="R69" i="36"/>
  <c r="R64" i="36"/>
  <c r="R61" i="36"/>
  <c r="R44" i="36"/>
  <c r="R32" i="36"/>
  <c r="X12" i="36"/>
  <c r="R23" i="36"/>
  <c r="R31" i="36"/>
  <c r="X71" i="36"/>
  <c r="Z71" i="36" s="1"/>
  <c r="R74" i="36"/>
  <c r="V78" i="36"/>
  <c r="V85" i="36"/>
  <c r="R95" i="36"/>
  <c r="L112" i="36"/>
  <c r="N112" i="36" s="1"/>
  <c r="D111" i="36"/>
  <c r="L111" i="36" s="1"/>
  <c r="N111" i="36" s="1"/>
  <c r="J99" i="39"/>
  <c r="J89" i="39"/>
  <c r="J81" i="39"/>
  <c r="J73" i="39"/>
  <c r="J69" i="39"/>
  <c r="J61" i="39"/>
  <c r="J55" i="39"/>
  <c r="J45" i="39"/>
  <c r="J33" i="39"/>
  <c r="J101" i="39"/>
  <c r="J95" i="39"/>
  <c r="J87" i="39"/>
  <c r="J79" i="39"/>
  <c r="J75" i="39"/>
  <c r="J71" i="39"/>
  <c r="J63" i="39"/>
  <c r="J49" i="39"/>
  <c r="J43" i="39"/>
  <c r="J31" i="39"/>
  <c r="J23" i="39"/>
  <c r="J107" i="39"/>
  <c r="J98" i="39"/>
  <c r="J94" i="39"/>
  <c r="J86" i="39"/>
  <c r="J78" i="39"/>
  <c r="J68" i="39"/>
  <c r="J60" i="39"/>
  <c r="J54" i="39"/>
  <c r="J42" i="39"/>
  <c r="J30" i="39"/>
  <c r="J97" i="39"/>
  <c r="J93" i="39"/>
  <c r="J83" i="39"/>
  <c r="J65" i="39"/>
  <c r="J57" i="39"/>
  <c r="J51" i="39"/>
  <c r="J41" i="39"/>
  <c r="J104" i="39"/>
  <c r="J100" i="39"/>
  <c r="J92" i="39"/>
  <c r="J74" i="39"/>
  <c r="J70" i="39"/>
  <c r="J62" i="39"/>
  <c r="J56" i="39"/>
  <c r="J48" i="39"/>
  <c r="J40" i="39"/>
  <c r="J111" i="39"/>
  <c r="J106" i="39"/>
  <c r="J91" i="39"/>
  <c r="J85" i="39"/>
  <c r="J77" i="39"/>
  <c r="J67" i="39"/>
  <c r="J59" i="39"/>
  <c r="J53" i="39"/>
  <c r="J47" i="39"/>
  <c r="J39" i="39"/>
  <c r="J35" i="39"/>
  <c r="J90" i="39"/>
  <c r="J76" i="39"/>
  <c r="J28" i="39"/>
  <c r="H25" i="39"/>
  <c r="J22" i="39"/>
  <c r="J21" i="39"/>
  <c r="J102" i="39"/>
  <c r="J66" i="39"/>
  <c r="J50" i="39"/>
  <c r="J46" i="39"/>
  <c r="J36" i="39"/>
  <c r="J32" i="39"/>
  <c r="J88" i="39"/>
  <c r="J82" i="39"/>
  <c r="J72" i="39"/>
  <c r="J58" i="39"/>
  <c r="J37" i="39"/>
  <c r="J80" i="39"/>
  <c r="J44" i="39"/>
  <c r="J38" i="39"/>
  <c r="J20" i="39"/>
  <c r="J27" i="39"/>
  <c r="J105" i="39"/>
  <c r="J34" i="39"/>
  <c r="N12" i="39"/>
  <c r="F27" i="39"/>
  <c r="J29" i="39"/>
  <c r="J84" i="39"/>
  <c r="F111" i="39"/>
  <c r="L33" i="51"/>
  <c r="N33" i="51" s="1"/>
  <c r="T35" i="55"/>
  <c r="V18" i="24"/>
  <c r="J22" i="24"/>
  <c r="V26" i="24"/>
  <c r="J30" i="24"/>
  <c r="V34" i="24"/>
  <c r="J38" i="24"/>
  <c r="V46" i="24"/>
  <c r="J50" i="24"/>
  <c r="J54" i="24"/>
  <c r="V58" i="24"/>
  <c r="V66" i="24"/>
  <c r="J68" i="24"/>
  <c r="V70" i="24"/>
  <c r="V78" i="24"/>
  <c r="R16" i="25"/>
  <c r="J18" i="25"/>
  <c r="R20" i="25"/>
  <c r="V24" i="25"/>
  <c r="F21" i="26"/>
  <c r="R27" i="26"/>
  <c r="R31" i="26"/>
  <c r="R34" i="26"/>
  <c r="P12" i="27"/>
  <c r="V43" i="27"/>
  <c r="V47" i="27"/>
  <c r="V55" i="27"/>
  <c r="V63" i="27"/>
  <c r="V75" i="27"/>
  <c r="V79" i="27"/>
  <c r="V85" i="27"/>
  <c r="V27" i="29"/>
  <c r="V31" i="29"/>
  <c r="V34" i="29"/>
  <c r="V29" i="30"/>
  <c r="V37" i="30"/>
  <c r="J43" i="30"/>
  <c r="V45" i="30"/>
  <c r="J49" i="30"/>
  <c r="V57" i="30"/>
  <c r="J61" i="30"/>
  <c r="J65" i="30"/>
  <c r="V69" i="30"/>
  <c r="J73" i="30"/>
  <c r="V77" i="30"/>
  <c r="V79" i="30"/>
  <c r="V87" i="30"/>
  <c r="J91" i="30"/>
  <c r="J93" i="30"/>
  <c r="J94" i="30"/>
  <c r="V98" i="30"/>
  <c r="L12" i="31"/>
  <c r="J16" i="31"/>
  <c r="L21" i="31"/>
  <c r="J36" i="31"/>
  <c r="R34" i="32"/>
  <c r="N25" i="33"/>
  <c r="V112" i="36"/>
  <c r="V108" i="36"/>
  <c r="V92" i="36"/>
  <c r="V88" i="36"/>
  <c r="V84" i="36"/>
  <c r="V80" i="36"/>
  <c r="V76" i="36"/>
  <c r="V68" i="36"/>
  <c r="V60" i="36"/>
  <c r="V56" i="36"/>
  <c r="V48" i="36"/>
  <c r="V40" i="36"/>
  <c r="V36" i="36"/>
  <c r="V28" i="36"/>
  <c r="V20" i="36"/>
  <c r="V99" i="36"/>
  <c r="V91" i="36"/>
  <c r="V87" i="36"/>
  <c r="V83" i="36"/>
  <c r="V79" i="36"/>
  <c r="V75" i="36"/>
  <c r="V67" i="36"/>
  <c r="V59" i="36"/>
  <c r="V51" i="36"/>
  <c r="V47" i="36"/>
  <c r="V39" i="36"/>
  <c r="V35" i="36"/>
  <c r="V114" i="36"/>
  <c r="V102" i="36"/>
  <c r="V98" i="36"/>
  <c r="V90" i="36"/>
  <c r="V82" i="36"/>
  <c r="V70" i="36"/>
  <c r="V62" i="36"/>
  <c r="V50" i="36"/>
  <c r="V46" i="36"/>
  <c r="V34" i="36"/>
  <c r="T25" i="36"/>
  <c r="V111" i="36"/>
  <c r="V101" i="36"/>
  <c r="V97" i="36"/>
  <c r="V89" i="36"/>
  <c r="V81" i="36"/>
  <c r="V69" i="36"/>
  <c r="V61" i="36"/>
  <c r="V53" i="36"/>
  <c r="V45" i="36"/>
  <c r="V33" i="36"/>
  <c r="V104" i="36"/>
  <c r="V100" i="36"/>
  <c r="V96" i="36"/>
  <c r="V72" i="36"/>
  <c r="V64" i="36"/>
  <c r="V52" i="36"/>
  <c r="V44" i="36"/>
  <c r="V32" i="36"/>
  <c r="Z12" i="36"/>
  <c r="V113" i="36"/>
  <c r="V107" i="36"/>
  <c r="V103" i="36"/>
  <c r="V95" i="36"/>
  <c r="V71" i="36"/>
  <c r="V63" i="36"/>
  <c r="V55" i="36"/>
  <c r="V43" i="36"/>
  <c r="V31" i="36"/>
  <c r="V27" i="36"/>
  <c r="V23" i="36"/>
  <c r="R22" i="36"/>
  <c r="R27" i="36"/>
  <c r="R30" i="36"/>
  <c r="N39" i="36"/>
  <c r="V65" i="36"/>
  <c r="L73" i="36"/>
  <c r="N73" i="36" s="1"/>
  <c r="V74" i="36"/>
  <c r="R94" i="36"/>
  <c r="N108" i="36"/>
  <c r="V109" i="36"/>
  <c r="R118" i="36"/>
  <c r="L25" i="37"/>
  <c r="T18" i="38"/>
  <c r="L12" i="39"/>
  <c r="X85" i="39"/>
  <c r="Z85" i="39" s="1"/>
  <c r="V19" i="24"/>
  <c r="V27" i="24"/>
  <c r="J33" i="24"/>
  <c r="V35" i="24"/>
  <c r="J39" i="24"/>
  <c r="J43" i="24"/>
  <c r="V47" i="24"/>
  <c r="J51" i="24"/>
  <c r="V55" i="24"/>
  <c r="J57" i="24"/>
  <c r="J63" i="24"/>
  <c r="V67" i="24"/>
  <c r="J75" i="24"/>
  <c r="X12" i="25"/>
  <c r="J21" i="25"/>
  <c r="F27" i="25"/>
  <c r="V27" i="25"/>
  <c r="F31" i="25"/>
  <c r="V31" i="25"/>
  <c r="F34" i="25"/>
  <c r="V34" i="25"/>
  <c r="R16" i="26"/>
  <c r="R20" i="26"/>
  <c r="F24" i="26"/>
  <c r="V24" i="26"/>
  <c r="V20" i="27"/>
  <c r="V28" i="27"/>
  <c r="V36" i="27"/>
  <c r="V44" i="27"/>
  <c r="V48" i="27"/>
  <c r="V60" i="27"/>
  <c r="V68" i="27"/>
  <c r="V72" i="27"/>
  <c r="V76" i="27"/>
  <c r="Z12" i="29"/>
  <c r="V16" i="29"/>
  <c r="V20" i="29"/>
  <c r="J24" i="29"/>
  <c r="V22" i="30"/>
  <c r="J26" i="30"/>
  <c r="V30" i="30"/>
  <c r="J34" i="30"/>
  <c r="V38" i="30"/>
  <c r="V42" i="30"/>
  <c r="V46" i="30"/>
  <c r="J50" i="30"/>
  <c r="J54" i="30"/>
  <c r="V58" i="30"/>
  <c r="J62" i="30"/>
  <c r="V66" i="30"/>
  <c r="J68" i="30"/>
  <c r="V74" i="30"/>
  <c r="V81" i="30"/>
  <c r="N84" i="30"/>
  <c r="V89" i="30"/>
  <c r="J92" i="30"/>
  <c r="V105" i="30"/>
  <c r="N108" i="30"/>
  <c r="V112" i="30"/>
  <c r="J117" i="30"/>
  <c r="R24" i="31"/>
  <c r="R21" i="31"/>
  <c r="R36" i="31"/>
  <c r="R33" i="31"/>
  <c r="R29" i="31"/>
  <c r="R25" i="31"/>
  <c r="P18" i="31"/>
  <c r="R15" i="31"/>
  <c r="X12" i="31"/>
  <c r="F36" i="32"/>
  <c r="F33" i="32"/>
  <c r="F29" i="32"/>
  <c r="F25" i="32"/>
  <c r="D18" i="32"/>
  <c r="F15" i="32"/>
  <c r="L12" i="32"/>
  <c r="F22" i="32"/>
  <c r="F20" i="32"/>
  <c r="F16" i="32"/>
  <c r="F34" i="32"/>
  <c r="F31" i="32"/>
  <c r="F27" i="32"/>
  <c r="F24" i="32"/>
  <c r="R25" i="32"/>
  <c r="L33" i="32"/>
  <c r="X19" i="33"/>
  <c r="N24" i="33"/>
  <c r="J25" i="33"/>
  <c r="N48" i="33"/>
  <c r="Z50" i="33"/>
  <c r="Z63" i="33"/>
  <c r="Z68" i="33"/>
  <c r="X68" i="33"/>
  <c r="J71" i="33"/>
  <c r="P71" i="33"/>
  <c r="X71" i="33" s="1"/>
  <c r="Z71" i="33" s="1"/>
  <c r="X72" i="33"/>
  <c r="Z72" i="33" s="1"/>
  <c r="V24" i="34"/>
  <c r="V22" i="36"/>
  <c r="X27" i="36"/>
  <c r="Z27" i="36" s="1"/>
  <c r="V30" i="36"/>
  <c r="R43" i="36"/>
  <c r="V49" i="36"/>
  <c r="Z54" i="36"/>
  <c r="L56" i="36"/>
  <c r="N56" i="36" s="1"/>
  <c r="R58" i="36"/>
  <c r="N63" i="36"/>
  <c r="N87" i="36"/>
  <c r="V94" i="36"/>
  <c r="J108" i="36"/>
  <c r="R113" i="36"/>
  <c r="V118" i="36"/>
  <c r="P27" i="37"/>
  <c r="P12" i="39"/>
  <c r="X15" i="39"/>
  <c r="J96" i="39"/>
  <c r="X24" i="40"/>
  <c r="L37" i="42"/>
  <c r="N37" i="42" s="1"/>
  <c r="V24" i="46"/>
  <c r="V21" i="46"/>
  <c r="V33" i="46"/>
  <c r="T18" i="46"/>
  <c r="V15" i="46"/>
  <c r="V29" i="46"/>
  <c r="V31" i="46"/>
  <c r="V25" i="46"/>
  <c r="V27" i="46"/>
  <c r="V20" i="46"/>
  <c r="V16" i="46"/>
  <c r="Z12" i="46"/>
  <c r="V22" i="46"/>
  <c r="V36" i="46"/>
  <c r="V18" i="46"/>
  <c r="V34" i="46"/>
  <c r="D27" i="46"/>
  <c r="X21" i="47"/>
  <c r="V21" i="24"/>
  <c r="J25" i="24"/>
  <c r="V37" i="24"/>
  <c r="J41" i="24"/>
  <c r="J45" i="24"/>
  <c r="V49" i="24"/>
  <c r="V53" i="24"/>
  <c r="J55" i="24"/>
  <c r="J61" i="24"/>
  <c r="V65" i="24"/>
  <c r="J69" i="24"/>
  <c r="J73" i="24"/>
  <c r="J77" i="24"/>
  <c r="R15" i="25"/>
  <c r="P18" i="25"/>
  <c r="R25" i="25"/>
  <c r="J27" i="25"/>
  <c r="R29" i="25"/>
  <c r="J31" i="25"/>
  <c r="R33" i="25"/>
  <c r="J34" i="25"/>
  <c r="R36" i="25"/>
  <c r="F16" i="26"/>
  <c r="V16" i="26"/>
  <c r="R22" i="26"/>
  <c r="V22" i="27"/>
  <c r="V38" i="27"/>
  <c r="V50" i="27"/>
  <c r="V58" i="27"/>
  <c r="V66" i="27"/>
  <c r="V70" i="27"/>
  <c r="D81" i="27"/>
  <c r="L81" i="27" s="1"/>
  <c r="F25" i="28"/>
  <c r="V25" i="28"/>
  <c r="F29" i="28"/>
  <c r="V29" i="28"/>
  <c r="F33" i="28"/>
  <c r="V33" i="28"/>
  <c r="J16" i="29"/>
  <c r="V22" i="29"/>
  <c r="J114" i="30"/>
  <c r="J110" i="30"/>
  <c r="J102" i="30"/>
  <c r="J88" i="30"/>
  <c r="J80" i="30"/>
  <c r="J112" i="30"/>
  <c r="J106" i="30"/>
  <c r="J98" i="30"/>
  <c r="J82" i="30"/>
  <c r="J20" i="30"/>
  <c r="V24" i="30"/>
  <c r="J28" i="30"/>
  <c r="V32" i="30"/>
  <c r="J36" i="30"/>
  <c r="J42" i="30"/>
  <c r="J44" i="30"/>
  <c r="V48" i="30"/>
  <c r="J52" i="30"/>
  <c r="J56" i="30"/>
  <c r="V60" i="30"/>
  <c r="V64" i="30"/>
  <c r="J66" i="30"/>
  <c r="V72" i="30"/>
  <c r="J74" i="30"/>
  <c r="V76" i="30"/>
  <c r="Z82" i="30"/>
  <c r="V83" i="30"/>
  <c r="V93" i="30"/>
  <c r="J96" i="30"/>
  <c r="N98" i="30"/>
  <c r="J99" i="30"/>
  <c r="Z106" i="30"/>
  <c r="V107" i="30"/>
  <c r="V116" i="30"/>
  <c r="J18" i="31"/>
  <c r="Z24" i="32"/>
  <c r="X24" i="32"/>
  <c r="L29" i="32"/>
  <c r="X18" i="34"/>
  <c r="Z20" i="34"/>
  <c r="X20" i="34"/>
  <c r="V18" i="35"/>
  <c r="V36" i="35"/>
  <c r="V33" i="35"/>
  <c r="V29" i="35"/>
  <c r="V25" i="35"/>
  <c r="T18" i="35"/>
  <c r="V15" i="35"/>
  <c r="V22" i="35"/>
  <c r="V20" i="35"/>
  <c r="V16" i="35"/>
  <c r="Z12" i="35"/>
  <c r="V34" i="35"/>
  <c r="V31" i="35"/>
  <c r="V27" i="35"/>
  <c r="N20" i="36"/>
  <c r="V21" i="36"/>
  <c r="V38" i="36"/>
  <c r="V42" i="36"/>
  <c r="V57" i="36"/>
  <c r="R63" i="36"/>
  <c r="N67" i="36"/>
  <c r="Z69" i="36"/>
  <c r="V73" i="36"/>
  <c r="R86" i="36"/>
  <c r="X103" i="36"/>
  <c r="Z103" i="36" s="1"/>
  <c r="R107" i="36"/>
  <c r="L15" i="37"/>
  <c r="J34" i="38"/>
  <c r="J31" i="38"/>
  <c r="J27" i="38"/>
  <c r="J24" i="38"/>
  <c r="J21" i="38"/>
  <c r="J18" i="38"/>
  <c r="J36" i="38"/>
  <c r="J33" i="38"/>
  <c r="J29" i="38"/>
  <c r="J25" i="38"/>
  <c r="H18" i="38"/>
  <c r="J15" i="38"/>
  <c r="J22" i="38"/>
  <c r="N12" i="38"/>
  <c r="J20" i="38"/>
  <c r="F102" i="39"/>
  <c r="F90" i="39"/>
  <c r="F85" i="39"/>
  <c r="F82" i="39"/>
  <c r="F77" i="39"/>
  <c r="F53" i="39"/>
  <c r="F50" i="39"/>
  <c r="F46" i="39"/>
  <c r="F34" i="39"/>
  <c r="F105" i="39"/>
  <c r="F99" i="39"/>
  <c r="F88" i="39"/>
  <c r="F84" i="39"/>
  <c r="F80" i="39"/>
  <c r="F76" i="39"/>
  <c r="F72" i="39"/>
  <c r="F55" i="39"/>
  <c r="F52" i="39"/>
  <c r="F44" i="39"/>
  <c r="F32" i="39"/>
  <c r="F95" i="39"/>
  <c r="F87" i="39"/>
  <c r="F79" i="39"/>
  <c r="F75" i="39"/>
  <c r="F71" i="39"/>
  <c r="F66" i="39"/>
  <c r="F63" i="39"/>
  <c r="F58" i="39"/>
  <c r="F43" i="39"/>
  <c r="F38" i="39"/>
  <c r="F31" i="39"/>
  <c r="F107" i="39"/>
  <c r="F101" i="39"/>
  <c r="F98" i="39"/>
  <c r="F94" i="39"/>
  <c r="F86" i="39"/>
  <c r="F78" i="39"/>
  <c r="F54" i="39"/>
  <c r="F49" i="39"/>
  <c r="F42" i="39"/>
  <c r="F97" i="39"/>
  <c r="F93" i="39"/>
  <c r="F68" i="39"/>
  <c r="F65" i="39"/>
  <c r="F60" i="39"/>
  <c r="F57" i="39"/>
  <c r="F41" i="39"/>
  <c r="F100" i="39"/>
  <c r="F92" i="39"/>
  <c r="F83" i="39"/>
  <c r="F56" i="39"/>
  <c r="F51" i="39"/>
  <c r="F48" i="39"/>
  <c r="F40" i="39"/>
  <c r="F36" i="39"/>
  <c r="F96" i="39"/>
  <c r="F74" i="39"/>
  <c r="F23" i="39"/>
  <c r="F70" i="39"/>
  <c r="F64" i="39"/>
  <c r="D25" i="39"/>
  <c r="F25" i="39" s="1"/>
  <c r="F22" i="39"/>
  <c r="F21" i="39"/>
  <c r="F91" i="39"/>
  <c r="F62" i="39"/>
  <c r="F28" i="39"/>
  <c r="F67" i="39"/>
  <c r="F47" i="39"/>
  <c r="F37" i="39"/>
  <c r="F33" i="39"/>
  <c r="F104" i="39"/>
  <c r="F59" i="39"/>
  <c r="F89" i="39"/>
  <c r="F73" i="39"/>
  <c r="F45" i="39"/>
  <c r="F39" i="39"/>
  <c r="F20" i="39"/>
  <c r="J25" i="39"/>
  <c r="F30" i="39"/>
  <c r="V22" i="24"/>
  <c r="J26" i="24"/>
  <c r="J32" i="24"/>
  <c r="J34" i="24"/>
  <c r="V38" i="24"/>
  <c r="V42" i="24"/>
  <c r="J46" i="24"/>
  <c r="V50" i="24"/>
  <c r="V54" i="24"/>
  <c r="J58" i="24"/>
  <c r="V62" i="24"/>
  <c r="J64" i="24"/>
  <c r="J70" i="24"/>
  <c r="J78" i="24"/>
  <c r="J82" i="24"/>
  <c r="J16" i="25"/>
  <c r="R15" i="26"/>
  <c r="P18" i="26"/>
  <c r="R25" i="26"/>
  <c r="R29" i="26"/>
  <c r="R33" i="26"/>
  <c r="V23" i="27"/>
  <c r="V39" i="27"/>
  <c r="V51" i="27"/>
  <c r="V59" i="27"/>
  <c r="V67" i="27"/>
  <c r="V71" i="27"/>
  <c r="V81" i="27"/>
  <c r="V87" i="27"/>
  <c r="V89" i="27"/>
  <c r="V15" i="29"/>
  <c r="T18" i="29"/>
  <c r="V25" i="29"/>
  <c r="V29" i="29"/>
  <c r="V33" i="29"/>
  <c r="V25" i="30"/>
  <c r="V33" i="30"/>
  <c r="J37" i="30"/>
  <c r="T40" i="30"/>
  <c r="J45" i="30"/>
  <c r="V49" i="30"/>
  <c r="V53" i="30"/>
  <c r="J57" i="30"/>
  <c r="V61" i="30"/>
  <c r="V65" i="30"/>
  <c r="J69" i="30"/>
  <c r="V73" i="30"/>
  <c r="V82" i="30"/>
  <c r="J86" i="30"/>
  <c r="J100" i="30"/>
  <c r="V106" i="30"/>
  <c r="J111" i="30"/>
  <c r="J20" i="31"/>
  <c r="J24" i="31"/>
  <c r="J29" i="31"/>
  <c r="X33" i="31"/>
  <c r="R21" i="32"/>
  <c r="R18" i="32"/>
  <c r="R22" i="32"/>
  <c r="R20" i="32"/>
  <c r="R16" i="32"/>
  <c r="X13" i="32"/>
  <c r="R15" i="32"/>
  <c r="X34" i="34"/>
  <c r="J20" i="36"/>
  <c r="N28" i="36"/>
  <c r="V29" i="36"/>
  <c r="X63" i="36"/>
  <c r="Z63" i="36" s="1"/>
  <c r="N71" i="36"/>
  <c r="Z81" i="36"/>
  <c r="V86" i="36"/>
  <c r="V93" i="36"/>
  <c r="N105" i="36"/>
  <c r="L105" i="36"/>
  <c r="R106" i="36"/>
  <c r="L12" i="38"/>
  <c r="L13" i="39"/>
  <c r="N13" i="39" s="1"/>
  <c r="J52" i="39"/>
  <c r="X53" i="39"/>
  <c r="Z53" i="39" s="1"/>
  <c r="F61" i="39"/>
  <c r="L19" i="42"/>
  <c r="N83" i="42"/>
  <c r="D12" i="45"/>
  <c r="L16" i="45"/>
  <c r="Z18" i="45"/>
  <c r="X60" i="45"/>
  <c r="Z60" i="45" s="1"/>
  <c r="Z68" i="45"/>
  <c r="L15" i="47"/>
  <c r="F27" i="31"/>
  <c r="F31" i="31"/>
  <c r="J18" i="32"/>
  <c r="V24" i="32"/>
  <c r="V20" i="33"/>
  <c r="V24" i="33"/>
  <c r="V28" i="33"/>
  <c r="J32" i="33"/>
  <c r="J36" i="33"/>
  <c r="V40" i="33"/>
  <c r="J44" i="33"/>
  <c r="V48" i="33"/>
  <c r="J50" i="33"/>
  <c r="J56" i="33"/>
  <c r="J60" i="33"/>
  <c r="V64" i="33"/>
  <c r="V68" i="33"/>
  <c r="V72" i="33"/>
  <c r="J76" i="33"/>
  <c r="F16" i="34"/>
  <c r="F20" i="34"/>
  <c r="R22" i="34"/>
  <c r="J24" i="34"/>
  <c r="J21" i="35"/>
  <c r="F27" i="35"/>
  <c r="F31" i="35"/>
  <c r="J35" i="36"/>
  <c r="J47" i="36"/>
  <c r="J51" i="36"/>
  <c r="J65" i="36"/>
  <c r="J73" i="36"/>
  <c r="J83" i="36"/>
  <c r="J91" i="36"/>
  <c r="J99" i="36"/>
  <c r="J105" i="36"/>
  <c r="J112" i="36"/>
  <c r="J15" i="37"/>
  <c r="H18" i="37"/>
  <c r="F21" i="37"/>
  <c r="V21" i="37"/>
  <c r="J25" i="37"/>
  <c r="R27" i="37"/>
  <c r="J29" i="37"/>
  <c r="R31" i="37"/>
  <c r="J33" i="37"/>
  <c r="J36" i="37"/>
  <c r="F18" i="38"/>
  <c r="V18" i="38"/>
  <c r="R24" i="38"/>
  <c r="N27" i="39"/>
  <c r="X16" i="40"/>
  <c r="X20" i="40"/>
  <c r="L27" i="42"/>
  <c r="V28" i="42"/>
  <c r="V34" i="42"/>
  <c r="Z63" i="42"/>
  <c r="Z83" i="42"/>
  <c r="X15" i="43"/>
  <c r="P18" i="43"/>
  <c r="N54" i="45"/>
  <c r="N62" i="45"/>
  <c r="N86" i="45"/>
  <c r="P18" i="47"/>
  <c r="X15" i="47"/>
  <c r="N34" i="50"/>
  <c r="L34" i="50"/>
  <c r="H27" i="52"/>
  <c r="N18" i="52"/>
  <c r="N16" i="54"/>
  <c r="H22" i="54"/>
  <c r="L22" i="54" s="1"/>
  <c r="P22" i="54"/>
  <c r="X16" i="54"/>
  <c r="J37" i="33"/>
  <c r="J45" i="33"/>
  <c r="J53" i="33"/>
  <c r="J63" i="33"/>
  <c r="J24" i="35"/>
  <c r="J36" i="36"/>
  <c r="J40" i="36"/>
  <c r="J48" i="36"/>
  <c r="J54" i="36"/>
  <c r="J60" i="36"/>
  <c r="J68" i="36"/>
  <c r="J76" i="36"/>
  <c r="J80" i="36"/>
  <c r="J84" i="36"/>
  <c r="J88" i="36"/>
  <c r="J92" i="36"/>
  <c r="J18" i="37"/>
  <c r="F24" i="37"/>
  <c r="V24" i="37"/>
  <c r="F21" i="38"/>
  <c r="R27" i="38"/>
  <c r="R31" i="38"/>
  <c r="R34" i="38"/>
  <c r="V21" i="41"/>
  <c r="V36" i="41"/>
  <c r="V33" i="41"/>
  <c r="V29" i="41"/>
  <c r="V25" i="41"/>
  <c r="T18" i="41"/>
  <c r="V15" i="41"/>
  <c r="V22" i="41"/>
  <c r="V20" i="41"/>
  <c r="V16" i="41"/>
  <c r="Z12" i="41"/>
  <c r="V34" i="41"/>
  <c r="V31" i="41"/>
  <c r="V27" i="41"/>
  <c r="X12" i="41"/>
  <c r="Z19" i="42"/>
  <c r="N27" i="42"/>
  <c r="V40" i="42"/>
  <c r="V46" i="42"/>
  <c r="F36" i="47"/>
  <c r="F33" i="47"/>
  <c r="F29" i="47"/>
  <c r="F25" i="47"/>
  <c r="D18" i="47"/>
  <c r="F15" i="47"/>
  <c r="L12" i="47"/>
  <c r="F22" i="47"/>
  <c r="F34" i="47"/>
  <c r="F31" i="47"/>
  <c r="F27" i="47"/>
  <c r="F21" i="47"/>
  <c r="F24" i="47"/>
  <c r="F20" i="47"/>
  <c r="Z12" i="32"/>
  <c r="V16" i="32"/>
  <c r="J24" i="32"/>
  <c r="J24" i="33"/>
  <c r="J26" i="33"/>
  <c r="V30" i="33"/>
  <c r="J34" i="33"/>
  <c r="J38" i="33"/>
  <c r="V42" i="33"/>
  <c r="V46" i="33"/>
  <c r="J48" i="33"/>
  <c r="J54" i="33"/>
  <c r="V58" i="33"/>
  <c r="V62" i="33"/>
  <c r="J68" i="33"/>
  <c r="J16" i="34"/>
  <c r="R18" i="34"/>
  <c r="F22" i="34"/>
  <c r="J27" i="35"/>
  <c r="J31" i="35"/>
  <c r="J34" i="35"/>
  <c r="D12" i="36"/>
  <c r="J21" i="36"/>
  <c r="J27" i="36"/>
  <c r="J29" i="36"/>
  <c r="J37" i="36"/>
  <c r="J41" i="36"/>
  <c r="J49" i="36"/>
  <c r="J57" i="36"/>
  <c r="J63" i="36"/>
  <c r="J71" i="36"/>
  <c r="J77" i="36"/>
  <c r="J85" i="36"/>
  <c r="J93" i="36"/>
  <c r="J103" i="36"/>
  <c r="J109" i="36"/>
  <c r="X12" i="37"/>
  <c r="J21" i="37"/>
  <c r="F27" i="37"/>
  <c r="V27" i="37"/>
  <c r="F31" i="37"/>
  <c r="V31" i="37"/>
  <c r="F34" i="37"/>
  <c r="V34" i="37"/>
  <c r="R16" i="38"/>
  <c r="R20" i="38"/>
  <c r="F24" i="38"/>
  <c r="V97" i="39"/>
  <c r="V93" i="39"/>
  <c r="V85" i="39"/>
  <c r="V77" i="39"/>
  <c r="V65" i="39"/>
  <c r="V57" i="39"/>
  <c r="V53" i="39"/>
  <c r="V41" i="39"/>
  <c r="V37" i="39"/>
  <c r="V111" i="39"/>
  <c r="V109" i="39"/>
  <c r="V99" i="39"/>
  <c r="V91" i="39"/>
  <c r="V67" i="39"/>
  <c r="V59" i="39"/>
  <c r="V55" i="39"/>
  <c r="V47" i="39"/>
  <c r="V39" i="39"/>
  <c r="V35" i="39"/>
  <c r="V25" i="39"/>
  <c r="V102" i="39"/>
  <c r="V90" i="39"/>
  <c r="V82" i="39"/>
  <c r="V66" i="39"/>
  <c r="V58" i="39"/>
  <c r="V50" i="39"/>
  <c r="V46" i="39"/>
  <c r="V38" i="39"/>
  <c r="V34" i="39"/>
  <c r="V105" i="39"/>
  <c r="V101" i="39"/>
  <c r="V89" i="39"/>
  <c r="V81" i="39"/>
  <c r="V73" i="39"/>
  <c r="V69" i="39"/>
  <c r="V61" i="39"/>
  <c r="V49" i="39"/>
  <c r="V45" i="39"/>
  <c r="V88" i="39"/>
  <c r="V84" i="39"/>
  <c r="V80" i="39"/>
  <c r="V76" i="39"/>
  <c r="V72" i="39"/>
  <c r="V68" i="39"/>
  <c r="V60" i="39"/>
  <c r="V52" i="39"/>
  <c r="V44" i="39"/>
  <c r="V113" i="39"/>
  <c r="V107" i="39"/>
  <c r="V95" i="39"/>
  <c r="V87" i="39"/>
  <c r="V83" i="39"/>
  <c r="V79" i="39"/>
  <c r="V75" i="39"/>
  <c r="V71" i="39"/>
  <c r="V63" i="39"/>
  <c r="V51" i="39"/>
  <c r="V43" i="39"/>
  <c r="V28" i="39"/>
  <c r="V29" i="39"/>
  <c r="V30" i="39"/>
  <c r="V42" i="39"/>
  <c r="V48" i="39"/>
  <c r="L55" i="39"/>
  <c r="N55" i="39" s="1"/>
  <c r="V70" i="39"/>
  <c r="L77" i="39"/>
  <c r="V78" i="39"/>
  <c r="N83" i="39"/>
  <c r="V100" i="39"/>
  <c r="Z101" i="39"/>
  <c r="N104" i="39"/>
  <c r="V106" i="39"/>
  <c r="L29" i="41"/>
  <c r="D12" i="42"/>
  <c r="L17" i="42"/>
  <c r="X19" i="42"/>
  <c r="V36" i="42"/>
  <c r="Z37" i="42"/>
  <c r="V52" i="42"/>
  <c r="V54" i="42"/>
  <c r="N57" i="42"/>
  <c r="V58" i="42"/>
  <c r="Z59" i="42"/>
  <c r="N65" i="42"/>
  <c r="V66" i="42"/>
  <c r="Z67" i="42"/>
  <c r="L75" i="42"/>
  <c r="V76" i="42"/>
  <c r="P101" i="42"/>
  <c r="X101" i="42" s="1"/>
  <c r="Z101" i="42" s="1"/>
  <c r="X102" i="42"/>
  <c r="Z102" i="42" s="1"/>
  <c r="X12" i="43"/>
  <c r="X34" i="43"/>
  <c r="X20" i="44"/>
  <c r="X24" i="44"/>
  <c r="P12" i="45"/>
  <c r="L26" i="45"/>
  <c r="N26" i="45" s="1"/>
  <c r="Z54" i="45"/>
  <c r="Z62" i="45"/>
  <c r="Z86" i="45"/>
  <c r="L53" i="48"/>
  <c r="N53" i="48" s="1"/>
  <c r="N25" i="53"/>
  <c r="L25" i="53"/>
  <c r="L52" i="57"/>
  <c r="N52" i="57" s="1"/>
  <c r="J16" i="35"/>
  <c r="J20" i="35"/>
  <c r="J22" i="36"/>
  <c r="J30" i="36"/>
  <c r="J38" i="36"/>
  <c r="J42" i="36"/>
  <c r="J52" i="36"/>
  <c r="J58" i="36"/>
  <c r="J66" i="36"/>
  <c r="J74" i="36"/>
  <c r="J78" i="36"/>
  <c r="J86" i="36"/>
  <c r="J94" i="36"/>
  <c r="J100" i="36"/>
  <c r="J106" i="36"/>
  <c r="J113" i="36"/>
  <c r="J118" i="36"/>
  <c r="N77" i="39"/>
  <c r="N18" i="40"/>
  <c r="V101" i="42"/>
  <c r="V95" i="42"/>
  <c r="V91" i="42"/>
  <c r="V83" i="42"/>
  <c r="V75" i="42"/>
  <c r="V63" i="42"/>
  <c r="V55" i="42"/>
  <c r="V47" i="42"/>
  <c r="V39" i="42"/>
  <c r="V35" i="42"/>
  <c r="V27" i="42"/>
  <c r="V19" i="42"/>
  <c r="V103" i="42"/>
  <c r="V97" i="42"/>
  <c r="V93" i="42"/>
  <c r="V89" i="42"/>
  <c r="V65" i="42"/>
  <c r="V57" i="42"/>
  <c r="V49" i="42"/>
  <c r="V45" i="42"/>
  <c r="V37" i="42"/>
  <c r="V33" i="42"/>
  <c r="T24" i="42"/>
  <c r="V108" i="42"/>
  <c r="V96" i="42"/>
  <c r="V88" i="42"/>
  <c r="V80" i="42"/>
  <c r="V72" i="42"/>
  <c r="V68" i="42"/>
  <c r="V60" i="42"/>
  <c r="V48" i="42"/>
  <c r="V44" i="42"/>
  <c r="V32" i="42"/>
  <c r="V99" i="42"/>
  <c r="V87" i="42"/>
  <c r="V79" i="42"/>
  <c r="V71" i="42"/>
  <c r="V67" i="42"/>
  <c r="V59" i="42"/>
  <c r="V51" i="42"/>
  <c r="V43" i="42"/>
  <c r="V31" i="42"/>
  <c r="V102" i="42"/>
  <c r="V98" i="42"/>
  <c r="V86" i="42"/>
  <c r="V82" i="42"/>
  <c r="V78" i="42"/>
  <c r="V74" i="42"/>
  <c r="V70" i="42"/>
  <c r="V62" i="42"/>
  <c r="V50" i="42"/>
  <c r="V42" i="42"/>
  <c r="V30" i="42"/>
  <c r="V26" i="42"/>
  <c r="V22" i="42"/>
  <c r="V85" i="42"/>
  <c r="V81" i="42"/>
  <c r="V77" i="42"/>
  <c r="V73" i="42"/>
  <c r="V69" i="42"/>
  <c r="V61" i="42"/>
  <c r="V53" i="42"/>
  <c r="V41" i="42"/>
  <c r="V29" i="42"/>
  <c r="V21" i="42"/>
  <c r="Z27" i="42"/>
  <c r="N75" i="42"/>
  <c r="V34" i="43"/>
  <c r="V31" i="43"/>
  <c r="V27" i="43"/>
  <c r="V21" i="43"/>
  <c r="V18" i="43"/>
  <c r="V36" i="43"/>
  <c r="V33" i="43"/>
  <c r="V29" i="43"/>
  <c r="V25" i="43"/>
  <c r="T18" i="43"/>
  <c r="V15" i="43"/>
  <c r="V22" i="43"/>
  <c r="V16" i="43"/>
  <c r="H79" i="48"/>
  <c r="J75" i="48"/>
  <c r="Z60" i="51"/>
  <c r="N29" i="53"/>
  <c r="L29" i="53"/>
  <c r="J16" i="32"/>
  <c r="J20" i="33"/>
  <c r="J28" i="33"/>
  <c r="J40" i="33"/>
  <c r="J46" i="33"/>
  <c r="J64" i="33"/>
  <c r="D71" i="33"/>
  <c r="L71" i="33" s="1"/>
  <c r="N71" i="33" s="1"/>
  <c r="F18" i="34"/>
  <c r="R24" i="34"/>
  <c r="P27" i="34"/>
  <c r="L12" i="35"/>
  <c r="J23" i="36"/>
  <c r="J31" i="36"/>
  <c r="J43" i="36"/>
  <c r="J55" i="36"/>
  <c r="J61" i="36"/>
  <c r="J69" i="36"/>
  <c r="J81" i="36"/>
  <c r="J89" i="36"/>
  <c r="J95" i="36"/>
  <c r="J107" i="36"/>
  <c r="J111" i="36"/>
  <c r="J27" i="37"/>
  <c r="J31" i="37"/>
  <c r="J34" i="37"/>
  <c r="X13" i="38"/>
  <c r="F16" i="38"/>
  <c r="R22" i="38"/>
  <c r="L53" i="39"/>
  <c r="N53" i="39" s="1"/>
  <c r="Z83" i="39"/>
  <c r="N85" i="39"/>
  <c r="T113" i="39"/>
  <c r="R20" i="40"/>
  <c r="R16" i="40"/>
  <c r="R24" i="40"/>
  <c r="R21" i="40"/>
  <c r="R18" i="40"/>
  <c r="R36" i="40"/>
  <c r="R33" i="40"/>
  <c r="R29" i="40"/>
  <c r="R25" i="40"/>
  <c r="P18" i="40"/>
  <c r="R15" i="40"/>
  <c r="R22" i="40"/>
  <c r="L15" i="41"/>
  <c r="X14" i="42"/>
  <c r="P12" i="42"/>
  <c r="X27" i="42"/>
  <c r="V90" i="42"/>
  <c r="N93" i="42"/>
  <c r="V94" i="42"/>
  <c r="N101" i="42"/>
  <c r="Z12" i="43"/>
  <c r="V24" i="43"/>
  <c r="R20" i="44"/>
  <c r="R16" i="44"/>
  <c r="R24" i="44"/>
  <c r="R21" i="44"/>
  <c r="R18" i="44"/>
  <c r="R36" i="44"/>
  <c r="R33" i="44"/>
  <c r="R29" i="44"/>
  <c r="R25" i="44"/>
  <c r="P18" i="44"/>
  <c r="R15" i="44"/>
  <c r="R22" i="44"/>
  <c r="N18" i="45"/>
  <c r="J18" i="45"/>
  <c r="Z50" i="45"/>
  <c r="Z58" i="45"/>
  <c r="N64" i="45"/>
  <c r="Z66" i="45"/>
  <c r="Z17" i="48"/>
  <c r="T75" i="48"/>
  <c r="L73" i="48"/>
  <c r="N73" i="48" s="1"/>
  <c r="D72" i="48"/>
  <c r="L72" i="48" s="1"/>
  <c r="N72" i="48" s="1"/>
  <c r="Z22" i="49"/>
  <c r="X22" i="49"/>
  <c r="X34" i="49"/>
  <c r="Z34" i="49"/>
  <c r="Z68" i="51"/>
  <c r="Z24" i="52"/>
  <c r="X24" i="52"/>
  <c r="R16" i="55"/>
  <c r="R24" i="55"/>
  <c r="R21" i="55"/>
  <c r="P16" i="55"/>
  <c r="R38" i="55"/>
  <c r="R31" i="55"/>
  <c r="R26" i="55"/>
  <c r="R23" i="55"/>
  <c r="R18" i="55"/>
  <c r="R14" i="55"/>
  <c r="R25" i="55"/>
  <c r="R20" i="55"/>
  <c r="X12" i="55"/>
  <c r="R22" i="55"/>
  <c r="R33" i="55"/>
  <c r="R19" i="55"/>
  <c r="R29" i="55"/>
  <c r="R27" i="55"/>
  <c r="L48" i="57"/>
  <c r="N48" i="57"/>
  <c r="H22" i="33"/>
  <c r="J29" i="33"/>
  <c r="J35" i="33"/>
  <c r="J41" i="33"/>
  <c r="J49" i="33"/>
  <c r="J55" i="33"/>
  <c r="J65" i="33"/>
  <c r="R27" i="34"/>
  <c r="R31" i="34"/>
  <c r="N12" i="35"/>
  <c r="H25" i="36"/>
  <c r="J32" i="36"/>
  <c r="J44" i="36"/>
  <c r="J50" i="36"/>
  <c r="J64" i="36"/>
  <c r="J72" i="36"/>
  <c r="J96" i="36"/>
  <c r="J104" i="36"/>
  <c r="J16" i="37"/>
  <c r="R15" i="38"/>
  <c r="P18" i="38"/>
  <c r="R25" i="38"/>
  <c r="R29" i="38"/>
  <c r="R33" i="38"/>
  <c r="Z51" i="39"/>
  <c r="Z77" i="39"/>
  <c r="Z13" i="40"/>
  <c r="X13" i="40"/>
  <c r="L21" i="41"/>
  <c r="V56" i="42"/>
  <c r="Z57" i="42"/>
  <c r="Z61" i="42"/>
  <c r="L63" i="42"/>
  <c r="N63" i="42" s="1"/>
  <c r="V64" i="42"/>
  <c r="Z65" i="42"/>
  <c r="Z69" i="42"/>
  <c r="Z75" i="42"/>
  <c r="Z81" i="42"/>
  <c r="L83" i="42"/>
  <c r="V84" i="42"/>
  <c r="L93" i="42"/>
  <c r="Z13" i="44"/>
  <c r="X13" i="44"/>
  <c r="Z26" i="45"/>
  <c r="L48" i="45"/>
  <c r="N48" i="45" s="1"/>
  <c r="N52" i="45"/>
  <c r="L56" i="45"/>
  <c r="N56" i="45" s="1"/>
  <c r="N60" i="45"/>
  <c r="L64" i="45"/>
  <c r="N68" i="45"/>
  <c r="Z72" i="45"/>
  <c r="Z22" i="46"/>
  <c r="X22" i="46"/>
  <c r="F16" i="47"/>
  <c r="F18" i="47"/>
  <c r="N69" i="48"/>
  <c r="L69" i="48"/>
  <c r="X12" i="50"/>
  <c r="R20" i="50"/>
  <c r="R16" i="50"/>
  <c r="R24" i="50"/>
  <c r="R21" i="50"/>
  <c r="R18" i="50"/>
  <c r="R36" i="50"/>
  <c r="R33" i="50"/>
  <c r="R29" i="50"/>
  <c r="R25" i="50"/>
  <c r="P18" i="50"/>
  <c r="R15" i="50"/>
  <c r="R31" i="50"/>
  <c r="R22" i="50"/>
  <c r="R34" i="50"/>
  <c r="X46" i="57"/>
  <c r="Z46" i="57" s="1"/>
  <c r="F16" i="40"/>
  <c r="F20" i="40"/>
  <c r="V20" i="40"/>
  <c r="J24" i="40"/>
  <c r="J21" i="41"/>
  <c r="F27" i="41"/>
  <c r="F31" i="41"/>
  <c r="F34" i="41"/>
  <c r="J27" i="42"/>
  <c r="J33" i="42"/>
  <c r="J45" i="42"/>
  <c r="J49" i="42"/>
  <c r="J63" i="42"/>
  <c r="J75" i="42"/>
  <c r="J83" i="42"/>
  <c r="J89" i="42"/>
  <c r="J97" i="42"/>
  <c r="J101" i="42"/>
  <c r="R25" i="43"/>
  <c r="J27" i="43"/>
  <c r="R29" i="43"/>
  <c r="J31" i="43"/>
  <c r="R33" i="43"/>
  <c r="J34" i="43"/>
  <c r="R36" i="43"/>
  <c r="F16" i="44"/>
  <c r="F20" i="44"/>
  <c r="J24" i="44"/>
  <c r="J26" i="45"/>
  <c r="V28" i="45"/>
  <c r="J32" i="45"/>
  <c r="V36" i="45"/>
  <c r="V40" i="45"/>
  <c r="J44" i="45"/>
  <c r="V52" i="45"/>
  <c r="J54" i="45"/>
  <c r="V60" i="45"/>
  <c r="J62" i="45"/>
  <c r="V68" i="45"/>
  <c r="V72" i="45"/>
  <c r="J76" i="45"/>
  <c r="J80" i="45"/>
  <c r="V84" i="45"/>
  <c r="J86" i="45"/>
  <c r="V88" i="45"/>
  <c r="J92" i="45"/>
  <c r="X12" i="46"/>
  <c r="J21" i="46"/>
  <c r="R25" i="46"/>
  <c r="R27" i="46"/>
  <c r="X29" i="46"/>
  <c r="Z53" i="48"/>
  <c r="J22" i="52"/>
  <c r="N12" i="52"/>
  <c r="J34" i="52"/>
  <c r="J31" i="52"/>
  <c r="J27" i="52"/>
  <c r="J24" i="52"/>
  <c r="J21" i="52"/>
  <c r="J18" i="52"/>
  <c r="R18" i="52"/>
  <c r="J22" i="55"/>
  <c r="J23" i="55"/>
  <c r="V26" i="56"/>
  <c r="V35" i="56"/>
  <c r="X55" i="56"/>
  <c r="Z55" i="56" s="1"/>
  <c r="V63" i="56"/>
  <c r="V68" i="56"/>
  <c r="D65" i="57"/>
  <c r="R19" i="57"/>
  <c r="Z42" i="57"/>
  <c r="R45" i="57"/>
  <c r="Z63" i="57"/>
  <c r="X63" i="57"/>
  <c r="J27" i="40"/>
  <c r="J31" i="40"/>
  <c r="J34" i="40"/>
  <c r="F16" i="41"/>
  <c r="F20" i="41"/>
  <c r="J34" i="42"/>
  <c r="J38" i="42"/>
  <c r="J46" i="42"/>
  <c r="J52" i="42"/>
  <c r="J58" i="42"/>
  <c r="J66" i="42"/>
  <c r="J90" i="42"/>
  <c r="J94" i="42"/>
  <c r="J16" i="43"/>
  <c r="J20" i="43"/>
  <c r="F22" i="43"/>
  <c r="J31" i="44"/>
  <c r="J34" i="44"/>
  <c r="V41" i="45"/>
  <c r="J45" i="45"/>
  <c r="J49" i="45"/>
  <c r="V53" i="45"/>
  <c r="J57" i="45"/>
  <c r="V61" i="45"/>
  <c r="J65" i="45"/>
  <c r="V69" i="45"/>
  <c r="V73" i="45"/>
  <c r="V77" i="45"/>
  <c r="J81" i="45"/>
  <c r="V85" i="45"/>
  <c r="J93" i="45"/>
  <c r="V95" i="45"/>
  <c r="J99" i="45"/>
  <c r="X33" i="46"/>
  <c r="V36" i="47"/>
  <c r="V33" i="47"/>
  <c r="V29" i="47"/>
  <c r="V25" i="47"/>
  <c r="T18" i="47"/>
  <c r="V15" i="47"/>
  <c r="V22" i="47"/>
  <c r="V34" i="47"/>
  <c r="V31" i="47"/>
  <c r="V27" i="47"/>
  <c r="V21" i="47"/>
  <c r="N29" i="47"/>
  <c r="L29" i="47"/>
  <c r="X17" i="48"/>
  <c r="F19" i="48"/>
  <c r="F23" i="48"/>
  <c r="F40" i="48"/>
  <c r="F55" i="48"/>
  <c r="P75" i="48"/>
  <c r="R75" i="48" s="1"/>
  <c r="V20" i="49"/>
  <c r="V16" i="49"/>
  <c r="Z12" i="49"/>
  <c r="V34" i="49"/>
  <c r="V31" i="49"/>
  <c r="V27" i="49"/>
  <c r="X12" i="49"/>
  <c r="V21" i="49"/>
  <c r="V18" i="49"/>
  <c r="V36" i="49"/>
  <c r="V33" i="49"/>
  <c r="V29" i="49"/>
  <c r="V25" i="49"/>
  <c r="T18" i="49"/>
  <c r="V15" i="49"/>
  <c r="V22" i="49"/>
  <c r="R33" i="51"/>
  <c r="R74" i="51"/>
  <c r="R24" i="52"/>
  <c r="R21" i="52"/>
  <c r="R36" i="52"/>
  <c r="R33" i="52"/>
  <c r="R29" i="52"/>
  <c r="R25" i="52"/>
  <c r="P18" i="52"/>
  <c r="R15" i="52"/>
  <c r="R22" i="52"/>
  <c r="X12" i="52"/>
  <c r="R20" i="52"/>
  <c r="R16" i="52"/>
  <c r="N33" i="53"/>
  <c r="L33" i="53"/>
  <c r="N18" i="54"/>
  <c r="L18" i="54"/>
  <c r="L29" i="56"/>
  <c r="N29" i="56" s="1"/>
  <c r="V43" i="56"/>
  <c r="V51" i="56"/>
  <c r="Z52" i="56"/>
  <c r="N44" i="57"/>
  <c r="H78" i="58"/>
  <c r="L16" i="59"/>
  <c r="D60" i="59"/>
  <c r="J16" i="40"/>
  <c r="J20" i="40"/>
  <c r="F22" i="40"/>
  <c r="V22" i="40"/>
  <c r="R25" i="41"/>
  <c r="J27" i="41"/>
  <c r="R29" i="41"/>
  <c r="J31" i="41"/>
  <c r="R33" i="41"/>
  <c r="J34" i="41"/>
  <c r="R36" i="41"/>
  <c r="J35" i="42"/>
  <c r="J39" i="42"/>
  <c r="J47" i="42"/>
  <c r="J55" i="42"/>
  <c r="J61" i="42"/>
  <c r="J69" i="42"/>
  <c r="J73" i="42"/>
  <c r="J81" i="42"/>
  <c r="J91" i="42"/>
  <c r="J95" i="42"/>
  <c r="J104" i="42"/>
  <c r="L12" i="43"/>
  <c r="F15" i="43"/>
  <c r="D18" i="43"/>
  <c r="R21" i="43"/>
  <c r="F25" i="43"/>
  <c r="F29" i="43"/>
  <c r="F33" i="43"/>
  <c r="F36" i="43"/>
  <c r="J16" i="44"/>
  <c r="J20" i="44"/>
  <c r="F22" i="44"/>
  <c r="V22" i="44"/>
  <c r="V30" i="45"/>
  <c r="J34" i="45"/>
  <c r="J38" i="45"/>
  <c r="V42" i="45"/>
  <c r="J46" i="45"/>
  <c r="V50" i="45"/>
  <c r="J52" i="45"/>
  <c r="V58" i="45"/>
  <c r="J60" i="45"/>
  <c r="V66" i="45"/>
  <c r="J68" i="45"/>
  <c r="V70" i="45"/>
  <c r="J72" i="45"/>
  <c r="V74" i="45"/>
  <c r="V78" i="45"/>
  <c r="J82" i="45"/>
  <c r="J90" i="45"/>
  <c r="P18" i="46"/>
  <c r="F36" i="46"/>
  <c r="Z12" i="47"/>
  <c r="V24" i="47"/>
  <c r="N33" i="47"/>
  <c r="L33" i="47"/>
  <c r="N19" i="48"/>
  <c r="F47" i="48"/>
  <c r="N55" i="48"/>
  <c r="X24" i="50"/>
  <c r="N19" i="51"/>
  <c r="R20" i="51"/>
  <c r="Z33" i="51"/>
  <c r="N56" i="51"/>
  <c r="Z62" i="51"/>
  <c r="Z74" i="51"/>
  <c r="R34" i="52"/>
  <c r="N15" i="53"/>
  <c r="L15" i="53"/>
  <c r="H18" i="53"/>
  <c r="L16" i="53"/>
  <c r="N29" i="54"/>
  <c r="L25" i="55"/>
  <c r="N25" i="55" s="1"/>
  <c r="V61" i="56"/>
  <c r="V49" i="56"/>
  <c r="V41" i="56"/>
  <c r="V37" i="56"/>
  <c r="V29" i="56"/>
  <c r="V25" i="56"/>
  <c r="T16" i="56"/>
  <c r="V64" i="56"/>
  <c r="V60" i="56"/>
  <c r="V48" i="56"/>
  <c r="V40" i="56"/>
  <c r="V36" i="56"/>
  <c r="V24" i="56"/>
  <c r="V77" i="56"/>
  <c r="V72" i="56"/>
  <c r="V70" i="56"/>
  <c r="V66" i="56"/>
  <c r="V54" i="56"/>
  <c r="V50" i="56"/>
  <c r="V42" i="56"/>
  <c r="V34" i="56"/>
  <c r="V22" i="56"/>
  <c r="V18" i="56"/>
  <c r="V14" i="56"/>
  <c r="V65" i="56"/>
  <c r="V57" i="56"/>
  <c r="V53" i="56"/>
  <c r="V45" i="56"/>
  <c r="V33" i="56"/>
  <c r="V21" i="56"/>
  <c r="V56" i="56"/>
  <c r="V52" i="56"/>
  <c r="V44" i="56"/>
  <c r="V32" i="56"/>
  <c r="V28" i="56"/>
  <c r="V20" i="56"/>
  <c r="Z12" i="56"/>
  <c r="V59" i="56"/>
  <c r="V55" i="56"/>
  <c r="V47" i="56"/>
  <c r="V39" i="56"/>
  <c r="V31" i="56"/>
  <c r="V27" i="56"/>
  <c r="V19" i="56"/>
  <c r="X12" i="56"/>
  <c r="X19" i="56"/>
  <c r="Z19" i="56" s="1"/>
  <c r="V38" i="56"/>
  <c r="Z40" i="56"/>
  <c r="N42" i="56"/>
  <c r="Z48" i="56"/>
  <c r="N50" i="56"/>
  <c r="H70" i="56"/>
  <c r="Z29" i="57"/>
  <c r="X105" i="39"/>
  <c r="Z105" i="39" s="1"/>
  <c r="L12" i="40"/>
  <c r="F15" i="40"/>
  <c r="V15" i="40"/>
  <c r="D18" i="40"/>
  <c r="T18" i="40"/>
  <c r="F25" i="40"/>
  <c r="V25" i="40"/>
  <c r="F29" i="40"/>
  <c r="V29" i="40"/>
  <c r="F33" i="40"/>
  <c r="V33" i="40"/>
  <c r="F36" i="40"/>
  <c r="V36" i="40"/>
  <c r="J16" i="41"/>
  <c r="R18" i="41"/>
  <c r="J20" i="41"/>
  <c r="F22" i="41"/>
  <c r="J20" i="42"/>
  <c r="J26" i="42"/>
  <c r="J28" i="42"/>
  <c r="J36" i="42"/>
  <c r="J40" i="42"/>
  <c r="J50" i="42"/>
  <c r="J56" i="42"/>
  <c r="J64" i="42"/>
  <c r="J76" i="42"/>
  <c r="J84" i="42"/>
  <c r="J92" i="42"/>
  <c r="J98" i="42"/>
  <c r="N12" i="43"/>
  <c r="F18" i="43"/>
  <c r="J22" i="43"/>
  <c r="L12" i="44"/>
  <c r="F15" i="44"/>
  <c r="D18" i="44"/>
  <c r="F25" i="44"/>
  <c r="F29" i="44"/>
  <c r="V29" i="44"/>
  <c r="F33" i="44"/>
  <c r="V33" i="44"/>
  <c r="F36" i="44"/>
  <c r="V36" i="44"/>
  <c r="J39" i="45"/>
  <c r="V43" i="45"/>
  <c r="J47" i="45"/>
  <c r="V51" i="45"/>
  <c r="J55" i="45"/>
  <c r="V59" i="45"/>
  <c r="J63" i="45"/>
  <c r="V67" i="45"/>
  <c r="V71" i="45"/>
  <c r="V75" i="45"/>
  <c r="J77" i="45"/>
  <c r="V79" i="45"/>
  <c r="J83" i="45"/>
  <c r="J87" i="45"/>
  <c r="V91" i="45"/>
  <c r="J95" i="45"/>
  <c r="J22" i="46"/>
  <c r="J24" i="46"/>
  <c r="J16" i="46"/>
  <c r="J20" i="46"/>
  <c r="J36" i="46"/>
  <c r="F69" i="48"/>
  <c r="F66" i="48"/>
  <c r="F62" i="48"/>
  <c r="F58" i="48"/>
  <c r="F53" i="48"/>
  <c r="F50" i="48"/>
  <c r="F34" i="48"/>
  <c r="F30" i="48"/>
  <c r="F22" i="48"/>
  <c r="L12" i="48"/>
  <c r="N12" i="48" s="1"/>
  <c r="F77" i="48"/>
  <c r="F65" i="48"/>
  <c r="F49" i="48"/>
  <c r="F44" i="48"/>
  <c r="F41" i="48"/>
  <c r="F33" i="48"/>
  <c r="F29" i="48"/>
  <c r="F21" i="48"/>
  <c r="F72" i="48"/>
  <c r="F46" i="48"/>
  <c r="F43" i="48"/>
  <c r="F39" i="48"/>
  <c r="F27" i="48"/>
  <c r="F70" i="48"/>
  <c r="F61" i="48"/>
  <c r="F57" i="48"/>
  <c r="F54" i="48"/>
  <c r="F38" i="48"/>
  <c r="F26" i="48"/>
  <c r="F48" i="48"/>
  <c r="F45" i="48"/>
  <c r="F37" i="48"/>
  <c r="F25" i="48"/>
  <c r="F20" i="48"/>
  <c r="F73" i="48"/>
  <c r="F67" i="48"/>
  <c r="F63" i="48"/>
  <c r="F60" i="48"/>
  <c r="F56" i="48"/>
  <c r="F51" i="48"/>
  <c r="F36" i="48"/>
  <c r="F31" i="48"/>
  <c r="F24" i="48"/>
  <c r="Z31" i="48"/>
  <c r="X31" i="48"/>
  <c r="N16" i="49"/>
  <c r="L16" i="49"/>
  <c r="R76" i="51"/>
  <c r="R70" i="51"/>
  <c r="R50" i="51"/>
  <c r="R38" i="51"/>
  <c r="R22" i="51"/>
  <c r="X12" i="51"/>
  <c r="Z12" i="51" s="1"/>
  <c r="R81" i="51"/>
  <c r="R69" i="51"/>
  <c r="R66" i="51"/>
  <c r="R61" i="51"/>
  <c r="R58" i="51"/>
  <c r="R49" i="51"/>
  <c r="R37" i="51"/>
  <c r="R29" i="51"/>
  <c r="R21" i="51"/>
  <c r="R75" i="51"/>
  <c r="R68" i="51"/>
  <c r="R63" i="51"/>
  <c r="R60" i="51"/>
  <c r="R55" i="51"/>
  <c r="R47" i="51"/>
  <c r="R43" i="51"/>
  <c r="R35" i="51"/>
  <c r="R27" i="51"/>
  <c r="R71" i="51"/>
  <c r="R54" i="51"/>
  <c r="R46" i="51"/>
  <c r="R42" i="51"/>
  <c r="R26" i="51"/>
  <c r="R19" i="51"/>
  <c r="R77" i="51"/>
  <c r="R65" i="51"/>
  <c r="R62" i="51"/>
  <c r="R57" i="51"/>
  <c r="R53" i="51"/>
  <c r="R41" i="51"/>
  <c r="R34" i="51"/>
  <c r="R25" i="51"/>
  <c r="R52" i="51"/>
  <c r="R45" i="51"/>
  <c r="R40" i="51"/>
  <c r="R31" i="51"/>
  <c r="R24" i="51"/>
  <c r="R28" i="51"/>
  <c r="R36" i="51"/>
  <c r="R39" i="51"/>
  <c r="N64" i="51"/>
  <c r="R72" i="51"/>
  <c r="R31" i="52"/>
  <c r="Z21" i="53"/>
  <c r="X21" i="53"/>
  <c r="D26" i="54"/>
  <c r="L28" i="54"/>
  <c r="N28" i="54" s="1"/>
  <c r="Z19" i="55"/>
  <c r="D31" i="55"/>
  <c r="L107" i="39"/>
  <c r="N12" i="40"/>
  <c r="F18" i="40"/>
  <c r="V18" i="40"/>
  <c r="J22" i="40"/>
  <c r="L12" i="41"/>
  <c r="F15" i="41"/>
  <c r="D18" i="41"/>
  <c r="R21" i="41"/>
  <c r="F25" i="41"/>
  <c r="F29" i="41"/>
  <c r="F33" i="41"/>
  <c r="F36" i="41"/>
  <c r="J21" i="42"/>
  <c r="J29" i="42"/>
  <c r="J41" i="42"/>
  <c r="J53" i="42"/>
  <c r="J59" i="42"/>
  <c r="J67" i="42"/>
  <c r="J77" i="42"/>
  <c r="J85" i="42"/>
  <c r="J102" i="42"/>
  <c r="J15" i="43"/>
  <c r="H18" i="43"/>
  <c r="F21" i="43"/>
  <c r="J25" i="43"/>
  <c r="R27" i="43"/>
  <c r="J29" i="43"/>
  <c r="R31" i="43"/>
  <c r="J33" i="43"/>
  <c r="R34" i="43"/>
  <c r="J36" i="43"/>
  <c r="F18" i="44"/>
  <c r="V18" i="44"/>
  <c r="J22" i="44"/>
  <c r="J20" i="45"/>
  <c r="T23" i="45"/>
  <c r="J28" i="45"/>
  <c r="V32" i="45"/>
  <c r="J36" i="45"/>
  <c r="J40" i="45"/>
  <c r="V44" i="45"/>
  <c r="V48" i="45"/>
  <c r="J50" i="45"/>
  <c r="V56" i="45"/>
  <c r="J58" i="45"/>
  <c r="V64" i="45"/>
  <c r="J66" i="45"/>
  <c r="V76" i="45"/>
  <c r="V80" i="45"/>
  <c r="J84" i="45"/>
  <c r="J88" i="45"/>
  <c r="V92" i="45"/>
  <c r="L12" i="46"/>
  <c r="V16" i="47"/>
  <c r="V18" i="47"/>
  <c r="D17" i="48"/>
  <c r="X51" i="48"/>
  <c r="Z51" i="48" s="1"/>
  <c r="X67" i="48"/>
  <c r="Z67" i="48" s="1"/>
  <c r="N20" i="49"/>
  <c r="L20" i="49"/>
  <c r="N21" i="49"/>
  <c r="R23" i="51"/>
  <c r="P31" i="51"/>
  <c r="X68" i="51"/>
  <c r="F36" i="53"/>
  <c r="F33" i="53"/>
  <c r="F29" i="53"/>
  <c r="F25" i="53"/>
  <c r="D18" i="53"/>
  <c r="F15" i="53"/>
  <c r="L12" i="53"/>
  <c r="F22" i="53"/>
  <c r="F20" i="53"/>
  <c r="F16" i="53"/>
  <c r="F34" i="53"/>
  <c r="F31" i="53"/>
  <c r="F27" i="53"/>
  <c r="F24" i="53"/>
  <c r="F21" i="53"/>
  <c r="P27" i="53"/>
  <c r="N14" i="54"/>
  <c r="L14" i="54"/>
  <c r="P70" i="56"/>
  <c r="Z42" i="56"/>
  <c r="V74" i="56"/>
  <c r="R69" i="57"/>
  <c r="R63" i="57"/>
  <c r="R32" i="57"/>
  <c r="R28" i="57"/>
  <c r="R20" i="57"/>
  <c r="X12" i="57"/>
  <c r="R59" i="57"/>
  <c r="R56" i="57"/>
  <c r="R51" i="57"/>
  <c r="R47" i="57"/>
  <c r="R44" i="57"/>
  <c r="R39" i="57"/>
  <c r="R31" i="57"/>
  <c r="R27" i="57"/>
  <c r="R67" i="57"/>
  <c r="R61" i="57"/>
  <c r="R58" i="57"/>
  <c r="R53" i="57"/>
  <c r="R49" i="57"/>
  <c r="R46" i="57"/>
  <c r="R41" i="57"/>
  <c r="R37" i="57"/>
  <c r="R25" i="57"/>
  <c r="R16" i="57"/>
  <c r="R72" i="57"/>
  <c r="R65" i="57"/>
  <c r="R36" i="57"/>
  <c r="R29" i="57"/>
  <c r="R24" i="57"/>
  <c r="P16" i="57"/>
  <c r="R60" i="57"/>
  <c r="R55" i="57"/>
  <c r="R52" i="57"/>
  <c r="R48" i="57"/>
  <c r="R43" i="57"/>
  <c r="R40" i="57"/>
  <c r="R35" i="57"/>
  <c r="R23" i="57"/>
  <c r="R34" i="57"/>
  <c r="R22" i="57"/>
  <c r="T69" i="57"/>
  <c r="R14" i="57"/>
  <c r="J15" i="41"/>
  <c r="H18" i="41"/>
  <c r="J25" i="41"/>
  <c r="R27" i="41"/>
  <c r="J29" i="41"/>
  <c r="R31" i="41"/>
  <c r="J33" i="41"/>
  <c r="H24" i="42"/>
  <c r="J31" i="42"/>
  <c r="J37" i="42"/>
  <c r="J43" i="42"/>
  <c r="J51" i="42"/>
  <c r="J57" i="42"/>
  <c r="J65" i="42"/>
  <c r="J71" i="42"/>
  <c r="J79" i="42"/>
  <c r="J87" i="42"/>
  <c r="J93" i="42"/>
  <c r="F27" i="43"/>
  <c r="F31" i="43"/>
  <c r="V18" i="45"/>
  <c r="H23" i="45"/>
  <c r="V26" i="45"/>
  <c r="J30" i="45"/>
  <c r="V34" i="45"/>
  <c r="V38" i="45"/>
  <c r="J42" i="45"/>
  <c r="V46" i="45"/>
  <c r="J48" i="45"/>
  <c r="V54" i="45"/>
  <c r="J56" i="45"/>
  <c r="V62" i="45"/>
  <c r="J64" i="45"/>
  <c r="J70" i="45"/>
  <c r="J74" i="45"/>
  <c r="V82" i="45"/>
  <c r="V86" i="45"/>
  <c r="R24" i="46"/>
  <c r="R22" i="46"/>
  <c r="J15" i="46"/>
  <c r="H18" i="46"/>
  <c r="F21" i="46"/>
  <c r="J29" i="46"/>
  <c r="J31" i="46"/>
  <c r="J24" i="47"/>
  <c r="J21" i="47"/>
  <c r="J36" i="47"/>
  <c r="J33" i="47"/>
  <c r="J29" i="47"/>
  <c r="J25" i="47"/>
  <c r="H18" i="47"/>
  <c r="J15" i="47"/>
  <c r="V20" i="47"/>
  <c r="J31" i="47"/>
  <c r="F15" i="48"/>
  <c r="F28" i="48"/>
  <c r="F35" i="48"/>
  <c r="F52" i="48"/>
  <c r="N61" i="48"/>
  <c r="F68" i="48"/>
  <c r="F20" i="49"/>
  <c r="F16" i="49"/>
  <c r="F34" i="49"/>
  <c r="F31" i="49"/>
  <c r="F27" i="49"/>
  <c r="F21" i="49"/>
  <c r="F18" i="49"/>
  <c r="F36" i="49"/>
  <c r="F33" i="49"/>
  <c r="F29" i="49"/>
  <c r="F25" i="49"/>
  <c r="D18" i="49"/>
  <c r="F15" i="49"/>
  <c r="L12" i="49"/>
  <c r="F22" i="49"/>
  <c r="V24" i="49"/>
  <c r="R48" i="51"/>
  <c r="X60" i="51"/>
  <c r="L62" i="51"/>
  <c r="N62" i="51" s="1"/>
  <c r="R64" i="51"/>
  <c r="R67" i="51"/>
  <c r="Z71" i="51"/>
  <c r="X29" i="52"/>
  <c r="L20" i="53"/>
  <c r="T26" i="54"/>
  <c r="Z22" i="54"/>
  <c r="J20" i="55"/>
  <c r="J18" i="55"/>
  <c r="J14" i="55"/>
  <c r="N12" i="55"/>
  <c r="J25" i="55"/>
  <c r="J35" i="55"/>
  <c r="J29" i="55"/>
  <c r="J19" i="55"/>
  <c r="J24" i="55"/>
  <c r="J16" i="55"/>
  <c r="J33" i="55"/>
  <c r="J27" i="55"/>
  <c r="J21" i="55"/>
  <c r="H16" i="55"/>
  <c r="L16" i="55" s="1"/>
  <c r="J26" i="55"/>
  <c r="Z25" i="55"/>
  <c r="L18" i="56"/>
  <c r="N18" i="56" s="1"/>
  <c r="N44" i="56"/>
  <c r="V62" i="56"/>
  <c r="N19" i="57"/>
  <c r="L19" i="57"/>
  <c r="R38" i="57"/>
  <c r="R50" i="57"/>
  <c r="R54" i="57"/>
  <c r="R57" i="57"/>
  <c r="Z14" i="58"/>
  <c r="T16" i="58"/>
  <c r="X14" i="58"/>
  <c r="R27" i="47"/>
  <c r="R31" i="47"/>
  <c r="R34" i="47"/>
  <c r="V17" i="48"/>
  <c r="J23" i="48"/>
  <c r="V27" i="48"/>
  <c r="R28" i="48"/>
  <c r="V31" i="48"/>
  <c r="R32" i="48"/>
  <c r="J35" i="48"/>
  <c r="V39" i="48"/>
  <c r="R40" i="48"/>
  <c r="V43" i="48"/>
  <c r="J47" i="48"/>
  <c r="V51" i="48"/>
  <c r="R52" i="48"/>
  <c r="J53" i="48"/>
  <c r="R57" i="48"/>
  <c r="J59" i="48"/>
  <c r="R61" i="48"/>
  <c r="V63" i="48"/>
  <c r="R64" i="48"/>
  <c r="V67" i="48"/>
  <c r="R68" i="48"/>
  <c r="J69" i="48"/>
  <c r="J79" i="48"/>
  <c r="J16" i="49"/>
  <c r="R18" i="49"/>
  <c r="J20" i="49"/>
  <c r="J27" i="50"/>
  <c r="J31" i="50"/>
  <c r="J34" i="50"/>
  <c r="D12" i="51"/>
  <c r="V23" i="51"/>
  <c r="J27" i="51"/>
  <c r="J33" i="51"/>
  <c r="J35" i="51"/>
  <c r="V39" i="51"/>
  <c r="J43" i="51"/>
  <c r="J47" i="51"/>
  <c r="V51" i="51"/>
  <c r="J55" i="51"/>
  <c r="V59" i="51"/>
  <c r="J63" i="51"/>
  <c r="V67" i="51"/>
  <c r="F24" i="52"/>
  <c r="V24" i="52"/>
  <c r="V21" i="53"/>
  <c r="J25" i="53"/>
  <c r="R27" i="53"/>
  <c r="J29" i="53"/>
  <c r="R31" i="53"/>
  <c r="J33" i="53"/>
  <c r="R34" i="53"/>
  <c r="J36" i="53"/>
  <c r="R16" i="54"/>
  <c r="R20" i="54"/>
  <c r="R26" i="54"/>
  <c r="R29" i="54"/>
  <c r="V16" i="55"/>
  <c r="V22" i="55"/>
  <c r="F19" i="56"/>
  <c r="F24" i="56"/>
  <c r="R32" i="56"/>
  <c r="J35" i="56"/>
  <c r="F36" i="56"/>
  <c r="J43" i="56"/>
  <c r="J51" i="56"/>
  <c r="F55" i="56"/>
  <c r="R56" i="56"/>
  <c r="F64" i="56"/>
  <c r="R65" i="56"/>
  <c r="J19" i="57"/>
  <c r="V21" i="57"/>
  <c r="J25" i="57"/>
  <c r="F26" i="57"/>
  <c r="F30" i="57"/>
  <c r="V33" i="57"/>
  <c r="J37" i="57"/>
  <c r="F38" i="57"/>
  <c r="J41" i="57"/>
  <c r="V45" i="57"/>
  <c r="J49" i="57"/>
  <c r="F50" i="57"/>
  <c r="J53" i="57"/>
  <c r="V57" i="57"/>
  <c r="J61" i="57"/>
  <c r="F63" i="57"/>
  <c r="V63" i="57"/>
  <c r="J67" i="57"/>
  <c r="F69" i="57"/>
  <c r="V69" i="57"/>
  <c r="P16" i="58"/>
  <c r="F20" i="58"/>
  <c r="V30" i="58"/>
  <c r="V31" i="58"/>
  <c r="V35" i="58"/>
  <c r="L41" i="58"/>
  <c r="N41" i="58" s="1"/>
  <c r="J42" i="58"/>
  <c r="V46" i="58"/>
  <c r="L53" i="58"/>
  <c r="N53" i="58" s="1"/>
  <c r="V72" i="58"/>
  <c r="R18" i="59"/>
  <c r="X49" i="60"/>
  <c r="Z49" i="60" s="1"/>
  <c r="V20" i="48"/>
  <c r="J24" i="48"/>
  <c r="V28" i="48"/>
  <c r="V32" i="48"/>
  <c r="J36" i="48"/>
  <c r="V40" i="48"/>
  <c r="R41" i="48"/>
  <c r="J42" i="48"/>
  <c r="R46" i="48"/>
  <c r="V48" i="48"/>
  <c r="R49" i="48"/>
  <c r="V52" i="48"/>
  <c r="J56" i="48"/>
  <c r="J60" i="48"/>
  <c r="V64" i="48"/>
  <c r="R65" i="48"/>
  <c r="V68" i="48"/>
  <c r="R72" i="48"/>
  <c r="J73" i="48"/>
  <c r="R77" i="48"/>
  <c r="J16" i="50"/>
  <c r="J20" i="50"/>
  <c r="J20" i="51"/>
  <c r="J28" i="51"/>
  <c r="T31" i="51"/>
  <c r="J36" i="51"/>
  <c r="V40" i="51"/>
  <c r="J44" i="51"/>
  <c r="J48" i="51"/>
  <c r="V52" i="51"/>
  <c r="V56" i="51"/>
  <c r="J58" i="51"/>
  <c r="V64" i="51"/>
  <c r="J66" i="51"/>
  <c r="J72" i="51"/>
  <c r="V74" i="51"/>
  <c r="V34" i="52"/>
  <c r="V24" i="53"/>
  <c r="V19" i="55"/>
  <c r="V29" i="55"/>
  <c r="V35" i="55"/>
  <c r="F37" i="56"/>
  <c r="F41" i="56"/>
  <c r="R42" i="56"/>
  <c r="F44" i="56"/>
  <c r="R45" i="56"/>
  <c r="J46" i="56"/>
  <c r="F49" i="56"/>
  <c r="R50" i="56"/>
  <c r="F52" i="56"/>
  <c r="R53" i="56"/>
  <c r="R57" i="56"/>
  <c r="J58" i="56"/>
  <c r="F61" i="56"/>
  <c r="J64" i="56"/>
  <c r="J68" i="56"/>
  <c r="R70" i="56"/>
  <c r="J74" i="56"/>
  <c r="R77" i="56"/>
  <c r="J26" i="57"/>
  <c r="J30" i="57"/>
  <c r="J38" i="57"/>
  <c r="F39" i="57"/>
  <c r="F42" i="57"/>
  <c r="J44" i="57"/>
  <c r="F47" i="57"/>
  <c r="J50" i="57"/>
  <c r="F51" i="57"/>
  <c r="F54" i="57"/>
  <c r="V54" i="57"/>
  <c r="J56" i="57"/>
  <c r="F59" i="57"/>
  <c r="F81" i="58"/>
  <c r="F74" i="58"/>
  <c r="F62" i="58"/>
  <c r="F59" i="58"/>
  <c r="F55" i="58"/>
  <c r="F69" i="58"/>
  <c r="F66" i="58"/>
  <c r="F58" i="58"/>
  <c r="F54" i="58"/>
  <c r="F49" i="58"/>
  <c r="F46" i="58"/>
  <c r="F41" i="58"/>
  <c r="F34" i="58"/>
  <c r="F65" i="58"/>
  <c r="F61" i="58"/>
  <c r="F33" i="58"/>
  <c r="F29" i="58"/>
  <c r="F21" i="58"/>
  <c r="F76" i="58"/>
  <c r="F70" i="58"/>
  <c r="F57" i="58"/>
  <c r="F53" i="58"/>
  <c r="F50" i="58"/>
  <c r="F45" i="58"/>
  <c r="F42" i="58"/>
  <c r="F38" i="58"/>
  <c r="F26" i="58"/>
  <c r="F60" i="58"/>
  <c r="F37" i="58"/>
  <c r="F25" i="58"/>
  <c r="F14" i="58"/>
  <c r="R44" i="58"/>
  <c r="R45" i="58"/>
  <c r="F52" i="58"/>
  <c r="R55" i="58"/>
  <c r="R56" i="58"/>
  <c r="R57" i="58"/>
  <c r="R64" i="58"/>
  <c r="F67" i="58"/>
  <c r="F68" i="58"/>
  <c r="N16" i="59"/>
  <c r="H60" i="59"/>
  <c r="T64" i="59"/>
  <c r="Z18" i="59"/>
  <c r="H58" i="60"/>
  <c r="N16" i="60"/>
  <c r="X12" i="47"/>
  <c r="X12" i="48"/>
  <c r="R15" i="48"/>
  <c r="J17" i="48"/>
  <c r="R19" i="48"/>
  <c r="V21" i="48"/>
  <c r="R22" i="48"/>
  <c r="J25" i="48"/>
  <c r="V29" i="48"/>
  <c r="R30" i="48"/>
  <c r="J31" i="48"/>
  <c r="V33" i="48"/>
  <c r="R34" i="48"/>
  <c r="J37" i="48"/>
  <c r="V41" i="48"/>
  <c r="J45" i="48"/>
  <c r="V49" i="48"/>
  <c r="R50" i="48"/>
  <c r="J51" i="48"/>
  <c r="R55" i="48"/>
  <c r="V57" i="48"/>
  <c r="R58" i="48"/>
  <c r="V61" i="48"/>
  <c r="R62" i="48"/>
  <c r="J63" i="48"/>
  <c r="V65" i="48"/>
  <c r="R66" i="48"/>
  <c r="J67" i="48"/>
  <c r="V75" i="48"/>
  <c r="V77" i="48"/>
  <c r="N12" i="49"/>
  <c r="L13" i="49"/>
  <c r="J22" i="49"/>
  <c r="R24" i="49"/>
  <c r="L12" i="50"/>
  <c r="F15" i="50"/>
  <c r="V15" i="50"/>
  <c r="D18" i="50"/>
  <c r="T18" i="50"/>
  <c r="F25" i="50"/>
  <c r="V25" i="50"/>
  <c r="F29" i="50"/>
  <c r="V29" i="50"/>
  <c r="F33" i="50"/>
  <c r="V33" i="50"/>
  <c r="F36" i="50"/>
  <c r="V36" i="50"/>
  <c r="J21" i="51"/>
  <c r="V25" i="51"/>
  <c r="J29" i="51"/>
  <c r="V31" i="51"/>
  <c r="J37" i="51"/>
  <c r="V41" i="51"/>
  <c r="V45" i="51"/>
  <c r="J49" i="51"/>
  <c r="V53" i="51"/>
  <c r="X56" i="51"/>
  <c r="Z56" i="51" s="1"/>
  <c r="V57" i="51"/>
  <c r="L58" i="51"/>
  <c r="J61" i="51"/>
  <c r="X64" i="51"/>
  <c r="Z64" i="51" s="1"/>
  <c r="V65" i="51"/>
  <c r="L66" i="51"/>
  <c r="N66" i="51" s="1"/>
  <c r="J69" i="51"/>
  <c r="J76" i="51"/>
  <c r="V77" i="51"/>
  <c r="J81" i="51"/>
  <c r="Z12" i="52"/>
  <c r="F16" i="52"/>
  <c r="V16" i="52"/>
  <c r="F20" i="52"/>
  <c r="V20" i="52"/>
  <c r="L21" i="52"/>
  <c r="X34" i="52"/>
  <c r="X12" i="53"/>
  <c r="J21" i="53"/>
  <c r="V27" i="53"/>
  <c r="V31" i="53"/>
  <c r="V34" i="53"/>
  <c r="F16" i="54"/>
  <c r="V16" i="54"/>
  <c r="F20" i="54"/>
  <c r="V20" i="54"/>
  <c r="J24" i="54"/>
  <c r="F26" i="54"/>
  <c r="V26" i="54"/>
  <c r="F29" i="54"/>
  <c r="V29" i="54"/>
  <c r="Z12" i="55"/>
  <c r="X19" i="55"/>
  <c r="V20" i="55"/>
  <c r="L21" i="55"/>
  <c r="N21" i="55" s="1"/>
  <c r="X29" i="55"/>
  <c r="J19" i="56"/>
  <c r="R22" i="56"/>
  <c r="J25" i="56"/>
  <c r="F26" i="56"/>
  <c r="F30" i="56"/>
  <c r="R34" i="56"/>
  <c r="J37" i="56"/>
  <c r="F38" i="56"/>
  <c r="J41" i="56"/>
  <c r="J49" i="56"/>
  <c r="R54" i="56"/>
  <c r="J55" i="56"/>
  <c r="L58" i="56"/>
  <c r="J61" i="56"/>
  <c r="F62" i="56"/>
  <c r="R63" i="56"/>
  <c r="F65" i="56"/>
  <c r="R66" i="56"/>
  <c r="R72" i="56"/>
  <c r="L12" i="57"/>
  <c r="X14" i="57"/>
  <c r="F20" i="57"/>
  <c r="V23" i="57"/>
  <c r="J27" i="57"/>
  <c r="F28" i="57"/>
  <c r="J31" i="57"/>
  <c r="F32" i="57"/>
  <c r="V35" i="57"/>
  <c r="J39" i="57"/>
  <c r="V43" i="57"/>
  <c r="J47" i="57"/>
  <c r="J51" i="57"/>
  <c r="V55" i="57"/>
  <c r="J59" i="57"/>
  <c r="J63" i="57"/>
  <c r="J69" i="57"/>
  <c r="J66" i="58"/>
  <c r="J58" i="58"/>
  <c r="J54" i="58"/>
  <c r="J65" i="58"/>
  <c r="J61" i="58"/>
  <c r="J51" i="58"/>
  <c r="J43" i="58"/>
  <c r="J33" i="58"/>
  <c r="J29" i="58"/>
  <c r="J78" i="58"/>
  <c r="J72" i="58"/>
  <c r="J68" i="58"/>
  <c r="J64" i="58"/>
  <c r="J48" i="58"/>
  <c r="J40" i="58"/>
  <c r="J32" i="58"/>
  <c r="J28" i="58"/>
  <c r="J20" i="58"/>
  <c r="J18" i="58"/>
  <c r="J67" i="58"/>
  <c r="J47" i="58"/>
  <c r="J37" i="58"/>
  <c r="J25" i="58"/>
  <c r="J19" i="58"/>
  <c r="J81" i="58"/>
  <c r="J74" i="58"/>
  <c r="J62" i="58"/>
  <c r="J56" i="58"/>
  <c r="J52" i="58"/>
  <c r="J44" i="58"/>
  <c r="J36" i="58"/>
  <c r="J30" i="58"/>
  <c r="J24" i="58"/>
  <c r="J16" i="58"/>
  <c r="V16" i="58"/>
  <c r="Z18" i="58"/>
  <c r="V26" i="58"/>
  <c r="R27" i="58"/>
  <c r="L30" i="58"/>
  <c r="N30" i="58" s="1"/>
  <c r="V42" i="58"/>
  <c r="X43" i="58"/>
  <c r="Z43" i="58" s="1"/>
  <c r="V47" i="58"/>
  <c r="F51" i="58"/>
  <c r="J53" i="58"/>
  <c r="V55" i="58"/>
  <c r="J59" i="58"/>
  <c r="V63" i="58"/>
  <c r="J69" i="58"/>
  <c r="F78" i="58"/>
  <c r="Z16" i="59"/>
  <c r="R21" i="59"/>
  <c r="X45" i="59"/>
  <c r="R49" i="59"/>
  <c r="N18" i="60"/>
  <c r="Z29" i="60"/>
  <c r="Z29" i="61"/>
  <c r="Z12" i="48"/>
  <c r="J20" i="48"/>
  <c r="V22" i="48"/>
  <c r="R23" i="48"/>
  <c r="J26" i="48"/>
  <c r="V30" i="48"/>
  <c r="V34" i="48"/>
  <c r="R35" i="48"/>
  <c r="J38" i="48"/>
  <c r="R44" i="48"/>
  <c r="V46" i="48"/>
  <c r="R47" i="48"/>
  <c r="J48" i="48"/>
  <c r="V50" i="48"/>
  <c r="J54" i="48"/>
  <c r="V58" i="48"/>
  <c r="R59" i="48"/>
  <c r="V62" i="48"/>
  <c r="V66" i="48"/>
  <c r="J70" i="48"/>
  <c r="V72" i="48"/>
  <c r="H18" i="49"/>
  <c r="J25" i="49"/>
  <c r="R27" i="49"/>
  <c r="J29" i="49"/>
  <c r="R31" i="49"/>
  <c r="J33" i="49"/>
  <c r="R34" i="49"/>
  <c r="J36" i="49"/>
  <c r="N12" i="50"/>
  <c r="F18" i="50"/>
  <c r="V18" i="50"/>
  <c r="J22" i="50"/>
  <c r="J22" i="51"/>
  <c r="V26" i="51"/>
  <c r="H31" i="51"/>
  <c r="V34" i="51"/>
  <c r="J38" i="51"/>
  <c r="V42" i="51"/>
  <c r="V46" i="51"/>
  <c r="J50" i="51"/>
  <c r="V54" i="51"/>
  <c r="J56" i="51"/>
  <c r="V62" i="51"/>
  <c r="J64" i="51"/>
  <c r="J70" i="51"/>
  <c r="J74" i="51"/>
  <c r="Z12" i="53"/>
  <c r="V16" i="53"/>
  <c r="V20" i="53"/>
  <c r="R22" i="53"/>
  <c r="J24" i="53"/>
  <c r="X12" i="54"/>
  <c r="F22" i="55"/>
  <c r="F25" i="55"/>
  <c r="V25" i="55"/>
  <c r="F14" i="56"/>
  <c r="F18" i="56"/>
  <c r="R23" i="56"/>
  <c r="J26" i="56"/>
  <c r="F27" i="56"/>
  <c r="J30" i="56"/>
  <c r="F31" i="56"/>
  <c r="R35" i="56"/>
  <c r="J38" i="56"/>
  <c r="F39" i="56"/>
  <c r="R40" i="56"/>
  <c r="F42" i="56"/>
  <c r="R43" i="56"/>
  <c r="J44" i="56"/>
  <c r="F47" i="56"/>
  <c r="R48" i="56"/>
  <c r="F50" i="56"/>
  <c r="R51" i="56"/>
  <c r="J52" i="56"/>
  <c r="F59" i="56"/>
  <c r="R60" i="56"/>
  <c r="J62" i="56"/>
  <c r="F70" i="56"/>
  <c r="F77" i="56"/>
  <c r="N12" i="57"/>
  <c r="J14" i="57"/>
  <c r="J18" i="57"/>
  <c r="J20" i="57"/>
  <c r="F21" i="57"/>
  <c r="V24" i="57"/>
  <c r="J28" i="57"/>
  <c r="J32" i="57"/>
  <c r="F33" i="57"/>
  <c r="V36" i="57"/>
  <c r="F40" i="57"/>
  <c r="V40" i="57"/>
  <c r="J42" i="57"/>
  <c r="F45" i="57"/>
  <c r="F48" i="57"/>
  <c r="V48" i="57"/>
  <c r="F52" i="57"/>
  <c r="V52" i="57"/>
  <c r="J54" i="57"/>
  <c r="F57" i="57"/>
  <c r="F60" i="57"/>
  <c r="V60" i="57"/>
  <c r="L12" i="58"/>
  <c r="D16" i="58"/>
  <c r="R20" i="58"/>
  <c r="F23" i="58"/>
  <c r="F24" i="58"/>
  <c r="F30" i="58"/>
  <c r="F31" i="58"/>
  <c r="F32" i="58"/>
  <c r="V38" i="58"/>
  <c r="R39" i="58"/>
  <c r="R40" i="58"/>
  <c r="R41" i="58"/>
  <c r="J50" i="58"/>
  <c r="N60" i="58"/>
  <c r="Z62" i="58"/>
  <c r="L19" i="59"/>
  <c r="N19" i="59" s="1"/>
  <c r="Z45" i="59"/>
  <c r="L47" i="59"/>
  <c r="P61" i="61"/>
  <c r="F72" i="58"/>
  <c r="N47" i="59"/>
  <c r="Z16" i="60"/>
  <c r="T58" i="60"/>
  <c r="N47" i="60"/>
  <c r="H57" i="61"/>
  <c r="N16" i="61"/>
  <c r="X15" i="48"/>
  <c r="V24" i="48"/>
  <c r="J28" i="48"/>
  <c r="J32" i="48"/>
  <c r="V36" i="48"/>
  <c r="R37" i="48"/>
  <c r="J40" i="48"/>
  <c r="R42" i="48"/>
  <c r="V44" i="48"/>
  <c r="R45" i="48"/>
  <c r="J46" i="48"/>
  <c r="J52" i="48"/>
  <c r="V56" i="48"/>
  <c r="V60" i="48"/>
  <c r="J64" i="48"/>
  <c r="J68" i="48"/>
  <c r="J72" i="48"/>
  <c r="R73" i="48"/>
  <c r="J21" i="49"/>
  <c r="J18" i="50"/>
  <c r="F24" i="50"/>
  <c r="V24" i="50"/>
  <c r="V20" i="51"/>
  <c r="J24" i="51"/>
  <c r="V28" i="51"/>
  <c r="J34" i="51"/>
  <c r="V36" i="51"/>
  <c r="J40" i="51"/>
  <c r="V44" i="51"/>
  <c r="V48" i="51"/>
  <c r="J52" i="51"/>
  <c r="V60" i="51"/>
  <c r="J62" i="51"/>
  <c r="V68" i="51"/>
  <c r="V72" i="51"/>
  <c r="J77" i="51"/>
  <c r="L12" i="52"/>
  <c r="F15" i="52"/>
  <c r="V15" i="52"/>
  <c r="D18" i="52"/>
  <c r="T18" i="52"/>
  <c r="F25" i="52"/>
  <c r="V25" i="52"/>
  <c r="F29" i="52"/>
  <c r="V29" i="52"/>
  <c r="F33" i="52"/>
  <c r="V33" i="52"/>
  <c r="F36" i="52"/>
  <c r="V36" i="52"/>
  <c r="J16" i="53"/>
  <c r="R18" i="53"/>
  <c r="V22" i="53"/>
  <c r="L16" i="54"/>
  <c r="L12" i="55"/>
  <c r="F20" i="55"/>
  <c r="F23" i="55"/>
  <c r="V23" i="55"/>
  <c r="V27" i="55"/>
  <c r="F31" i="55"/>
  <c r="V31" i="55"/>
  <c r="V33" i="55"/>
  <c r="V38" i="55"/>
  <c r="N12" i="56"/>
  <c r="J14" i="56"/>
  <c r="R16" i="56"/>
  <c r="J18" i="56"/>
  <c r="J20" i="56"/>
  <c r="F21" i="56"/>
  <c r="R25" i="56"/>
  <c r="J28" i="56"/>
  <c r="J32" i="56"/>
  <c r="F33" i="56"/>
  <c r="R37" i="56"/>
  <c r="F40" i="56"/>
  <c r="R41" i="56"/>
  <c r="J42" i="56"/>
  <c r="F45" i="56"/>
  <c r="R46" i="56"/>
  <c r="F48" i="56"/>
  <c r="R49" i="56"/>
  <c r="J50" i="56"/>
  <c r="F53" i="56"/>
  <c r="J56" i="56"/>
  <c r="F57" i="56"/>
  <c r="R58" i="56"/>
  <c r="F60" i="56"/>
  <c r="R61" i="56"/>
  <c r="R68" i="56"/>
  <c r="J70" i="56"/>
  <c r="R74" i="56"/>
  <c r="J77" i="56"/>
  <c r="F16" i="57"/>
  <c r="V16" i="57"/>
  <c r="J22" i="57"/>
  <c r="F23" i="57"/>
  <c r="V26" i="57"/>
  <c r="V30" i="57"/>
  <c r="J34" i="57"/>
  <c r="F35" i="57"/>
  <c r="V38" i="57"/>
  <c r="J40" i="57"/>
  <c r="F43" i="57"/>
  <c r="F46" i="57"/>
  <c r="V46" i="57"/>
  <c r="J48" i="57"/>
  <c r="V50" i="57"/>
  <c r="J52" i="57"/>
  <c r="F55" i="57"/>
  <c r="F58" i="57"/>
  <c r="V58" i="57"/>
  <c r="J60" i="57"/>
  <c r="R63" i="58"/>
  <c r="R60" i="58"/>
  <c r="R76" i="58"/>
  <c r="R70" i="58"/>
  <c r="R67" i="58"/>
  <c r="R50" i="58"/>
  <c r="R47" i="58"/>
  <c r="R42" i="58"/>
  <c r="R38" i="58"/>
  <c r="R26" i="58"/>
  <c r="R81" i="58"/>
  <c r="R74" i="58"/>
  <c r="R62" i="58"/>
  <c r="R37" i="58"/>
  <c r="R30" i="58"/>
  <c r="R25" i="58"/>
  <c r="R16" i="58"/>
  <c r="R66" i="58"/>
  <c r="R58" i="58"/>
  <c r="R54" i="58"/>
  <c r="R51" i="58"/>
  <c r="R46" i="58"/>
  <c r="R43" i="58"/>
  <c r="R34" i="58"/>
  <c r="R22" i="58"/>
  <c r="R78" i="58"/>
  <c r="R72" i="58"/>
  <c r="R65" i="58"/>
  <c r="R61" i="58"/>
  <c r="R33" i="58"/>
  <c r="R29" i="58"/>
  <c r="R21" i="58"/>
  <c r="R18" i="58"/>
  <c r="R14" i="58"/>
  <c r="F18" i="58"/>
  <c r="Z19" i="58"/>
  <c r="F22" i="58"/>
  <c r="J49" i="58"/>
  <c r="R59" i="58"/>
  <c r="N72" i="58"/>
  <c r="L72" i="58"/>
  <c r="J76" i="58"/>
  <c r="R54" i="59"/>
  <c r="R41" i="59"/>
  <c r="R37" i="59"/>
  <c r="R25" i="59"/>
  <c r="R16" i="59"/>
  <c r="R44" i="59"/>
  <c r="R36" i="59"/>
  <c r="R29" i="59"/>
  <c r="R24" i="59"/>
  <c r="P16" i="59"/>
  <c r="R64" i="59"/>
  <c r="R58" i="59"/>
  <c r="R51" i="59"/>
  <c r="R43" i="59"/>
  <c r="R40" i="59"/>
  <c r="R35" i="59"/>
  <c r="R23" i="59"/>
  <c r="R50" i="59"/>
  <c r="R46" i="59"/>
  <c r="R34" i="59"/>
  <c r="R22" i="59"/>
  <c r="R62" i="59"/>
  <c r="R56" i="59"/>
  <c r="R48" i="59"/>
  <c r="R45" i="59"/>
  <c r="R32" i="59"/>
  <c r="R28" i="59"/>
  <c r="R20" i="59"/>
  <c r="X12" i="59"/>
  <c r="R67" i="59"/>
  <c r="R60" i="59"/>
  <c r="R55" i="59"/>
  <c r="R52" i="59"/>
  <c r="R39" i="59"/>
  <c r="R31" i="59"/>
  <c r="R27" i="59"/>
  <c r="R47" i="59"/>
  <c r="R38" i="59"/>
  <c r="R30" i="59"/>
  <c r="R26" i="59"/>
  <c r="R14" i="59"/>
  <c r="Z42" i="59"/>
  <c r="Z52" i="59"/>
  <c r="N42" i="60"/>
  <c r="J15" i="48"/>
  <c r="R17" i="48"/>
  <c r="J19" i="48"/>
  <c r="J21" i="48"/>
  <c r="V25" i="48"/>
  <c r="R26" i="48"/>
  <c r="J29" i="48"/>
  <c r="R31" i="48"/>
  <c r="J33" i="48"/>
  <c r="V37" i="48"/>
  <c r="R38" i="48"/>
  <c r="J41" i="48"/>
  <c r="V45" i="48"/>
  <c r="J49" i="48"/>
  <c r="R51" i="48"/>
  <c r="V53" i="48"/>
  <c r="R54" i="48"/>
  <c r="J55" i="48"/>
  <c r="R63" i="48"/>
  <c r="J65" i="48"/>
  <c r="R67" i="48"/>
  <c r="V69" i="48"/>
  <c r="V73" i="48"/>
  <c r="F27" i="50"/>
  <c r="V27" i="50"/>
  <c r="F31" i="50"/>
  <c r="V31" i="50"/>
  <c r="J19" i="51"/>
  <c r="V21" i="51"/>
  <c r="J25" i="51"/>
  <c r="V29" i="51"/>
  <c r="V33" i="51"/>
  <c r="V37" i="51"/>
  <c r="J41" i="51"/>
  <c r="V49" i="51"/>
  <c r="J53" i="51"/>
  <c r="J57" i="51"/>
  <c r="V61" i="51"/>
  <c r="J65" i="51"/>
  <c r="V69" i="51"/>
  <c r="V81" i="51"/>
  <c r="V15" i="53"/>
  <c r="T18" i="53"/>
  <c r="X18" i="53" s="1"/>
  <c r="V25" i="53"/>
  <c r="V29" i="53"/>
  <c r="V33" i="53"/>
  <c r="F14" i="54"/>
  <c r="V14" i="54"/>
  <c r="F18" i="54"/>
  <c r="V18" i="54"/>
  <c r="F22" i="54"/>
  <c r="V22" i="54"/>
  <c r="V24" i="54"/>
  <c r="F28" i="54"/>
  <c r="V28" i="54"/>
  <c r="D16" i="56"/>
  <c r="R19" i="56"/>
  <c r="J21" i="56"/>
  <c r="F22" i="56"/>
  <c r="R26" i="56"/>
  <c r="F29" i="56"/>
  <c r="R30" i="56"/>
  <c r="J33" i="56"/>
  <c r="F34" i="56"/>
  <c r="R38" i="56"/>
  <c r="J45" i="56"/>
  <c r="J53" i="56"/>
  <c r="F54" i="56"/>
  <c r="R55" i="56"/>
  <c r="J57" i="56"/>
  <c r="F66" i="56"/>
  <c r="H16" i="57"/>
  <c r="L16" i="57" s="1"/>
  <c r="F19" i="57"/>
  <c r="V19" i="57"/>
  <c r="J23" i="57"/>
  <c r="F24" i="57"/>
  <c r="V27" i="57"/>
  <c r="J29" i="57"/>
  <c r="V31" i="57"/>
  <c r="J35" i="57"/>
  <c r="V39" i="57"/>
  <c r="J43" i="57"/>
  <c r="V47" i="57"/>
  <c r="V51" i="57"/>
  <c r="J55" i="57"/>
  <c r="J65" i="57"/>
  <c r="V81" i="58"/>
  <c r="V76" i="58"/>
  <c r="V74" i="58"/>
  <c r="V70" i="58"/>
  <c r="V62" i="58"/>
  <c r="V50" i="58"/>
  <c r="V69" i="58"/>
  <c r="V49" i="58"/>
  <c r="V41" i="58"/>
  <c r="V37" i="58"/>
  <c r="V25" i="58"/>
  <c r="V56" i="58"/>
  <c r="V52" i="58"/>
  <c r="V44" i="58"/>
  <c r="V36" i="58"/>
  <c r="V24" i="58"/>
  <c r="V65" i="58"/>
  <c r="V61" i="58"/>
  <c r="V57" i="58"/>
  <c r="V53" i="58"/>
  <c r="V45" i="58"/>
  <c r="V33" i="58"/>
  <c r="V29" i="58"/>
  <c r="V21" i="58"/>
  <c r="V68" i="58"/>
  <c r="V64" i="58"/>
  <c r="V60" i="58"/>
  <c r="V48" i="58"/>
  <c r="V40" i="58"/>
  <c r="V32" i="58"/>
  <c r="V28" i="58"/>
  <c r="V20" i="58"/>
  <c r="Z12" i="58"/>
  <c r="V19" i="58"/>
  <c r="J22" i="58"/>
  <c r="R23" i="58"/>
  <c r="R24" i="58"/>
  <c r="F27" i="58"/>
  <c r="F28" i="58"/>
  <c r="R32" i="58"/>
  <c r="F43" i="58"/>
  <c r="F44" i="58"/>
  <c r="N45" i="58"/>
  <c r="J46" i="58"/>
  <c r="Z51" i="58"/>
  <c r="F56" i="58"/>
  <c r="N57" i="58"/>
  <c r="V59" i="58"/>
  <c r="X60" i="58"/>
  <c r="Z60" i="58" s="1"/>
  <c r="F63" i="58"/>
  <c r="F64" i="58"/>
  <c r="Z67" i="58"/>
  <c r="Z53" i="60"/>
  <c r="Z49" i="61"/>
  <c r="J98" i="62"/>
  <c r="J91" i="62"/>
  <c r="J77" i="62"/>
  <c r="J69" i="62"/>
  <c r="J61" i="62"/>
  <c r="J53" i="62"/>
  <c r="J47" i="62"/>
  <c r="J35" i="62"/>
  <c r="J23" i="62"/>
  <c r="J15" i="62"/>
  <c r="J104" i="62"/>
  <c r="J94" i="62"/>
  <c r="J88" i="62"/>
  <c r="J66" i="62"/>
  <c r="J58" i="62"/>
  <c r="J50" i="62"/>
  <c r="J44" i="62"/>
  <c r="J34" i="62"/>
  <c r="J30" i="62"/>
  <c r="J22" i="62"/>
  <c r="J85" i="62"/>
  <c r="J79" i="62"/>
  <c r="J73" i="62"/>
  <c r="J63" i="62"/>
  <c r="J55" i="62"/>
  <c r="J49" i="62"/>
  <c r="J41" i="62"/>
  <c r="J33" i="62"/>
  <c r="J29" i="62"/>
  <c r="J21" i="62"/>
  <c r="J19" i="62"/>
  <c r="J102" i="62"/>
  <c r="J97" i="62"/>
  <c r="J90" i="62"/>
  <c r="J84" i="62"/>
  <c r="J76" i="62"/>
  <c r="J72" i="62"/>
  <c r="J68" i="62"/>
  <c r="J60" i="62"/>
  <c r="J52" i="62"/>
  <c r="J46" i="62"/>
  <c r="J40" i="62"/>
  <c r="J32" i="62"/>
  <c r="J28" i="62"/>
  <c r="J93" i="62"/>
  <c r="J87" i="62"/>
  <c r="J83" i="62"/>
  <c r="J75" i="62"/>
  <c r="J71" i="62"/>
  <c r="J65" i="62"/>
  <c r="J57" i="62"/>
  <c r="J43" i="62"/>
  <c r="J39" i="62"/>
  <c r="J27" i="62"/>
  <c r="J107" i="62"/>
  <c r="J100" i="62"/>
  <c r="J82" i="62"/>
  <c r="J78" i="62"/>
  <c r="J70" i="62"/>
  <c r="J62" i="62"/>
  <c r="J54" i="62"/>
  <c r="J48" i="62"/>
  <c r="J38" i="62"/>
  <c r="J26" i="62"/>
  <c r="J80" i="62"/>
  <c r="J64" i="62"/>
  <c r="J42" i="62"/>
  <c r="J24" i="62"/>
  <c r="J37" i="62"/>
  <c r="J36" i="62"/>
  <c r="J25" i="62"/>
  <c r="J81" i="62"/>
  <c r="J74" i="62"/>
  <c r="J56" i="62"/>
  <c r="J51" i="62"/>
  <c r="J45" i="62"/>
  <c r="J20" i="62"/>
  <c r="N12" i="62"/>
  <c r="J67" i="62"/>
  <c r="J14" i="62"/>
  <c r="L12" i="62"/>
  <c r="J96" i="62"/>
  <c r="H17" i="62"/>
  <c r="J92" i="62"/>
  <c r="J89" i="62"/>
  <c r="J59" i="62"/>
  <c r="J31" i="62"/>
  <c r="J86" i="62"/>
  <c r="R83" i="65"/>
  <c r="R76" i="65"/>
  <c r="R89" i="65"/>
  <c r="R77" i="65"/>
  <c r="R72" i="65"/>
  <c r="R68" i="65"/>
  <c r="R63" i="65"/>
  <c r="R60" i="65"/>
  <c r="R55" i="65"/>
  <c r="R47" i="65"/>
  <c r="R43" i="65"/>
  <c r="R35" i="65"/>
  <c r="R27" i="65"/>
  <c r="R75" i="65"/>
  <c r="R54" i="65"/>
  <c r="R46" i="65"/>
  <c r="R42" i="65"/>
  <c r="R26" i="65"/>
  <c r="R19" i="65"/>
  <c r="R84" i="65"/>
  <c r="R74" i="65"/>
  <c r="R65" i="65"/>
  <c r="R62" i="65"/>
  <c r="R57" i="65"/>
  <c r="R53" i="65"/>
  <c r="R41" i="65"/>
  <c r="R34" i="65"/>
  <c r="R25" i="65"/>
  <c r="R82" i="65"/>
  <c r="R52" i="65"/>
  <c r="R45" i="65"/>
  <c r="R40" i="65"/>
  <c r="R24" i="65"/>
  <c r="R71" i="65"/>
  <c r="R67" i="65"/>
  <c r="R64" i="65"/>
  <c r="R59" i="65"/>
  <c r="R56" i="65"/>
  <c r="R51" i="65"/>
  <c r="R39" i="65"/>
  <c r="P31" i="65"/>
  <c r="R23" i="65"/>
  <c r="R70" i="65"/>
  <c r="R50" i="65"/>
  <c r="R38" i="65"/>
  <c r="R22" i="65"/>
  <c r="X12" i="65"/>
  <c r="Z12" i="65" s="1"/>
  <c r="R79" i="65"/>
  <c r="R73" i="65"/>
  <c r="R69" i="65"/>
  <c r="R29" i="65"/>
  <c r="R28" i="65"/>
  <c r="R66" i="65"/>
  <c r="R20" i="65"/>
  <c r="R61" i="65"/>
  <c r="R36" i="65"/>
  <c r="R21" i="65"/>
  <c r="R85" i="65"/>
  <c r="R37" i="65"/>
  <c r="R58" i="65"/>
  <c r="R49" i="65"/>
  <c r="R48" i="65"/>
  <c r="R33" i="65"/>
  <c r="R78" i="65"/>
  <c r="R44" i="65"/>
  <c r="F29" i="59"/>
  <c r="F34" i="59"/>
  <c r="F46" i="59"/>
  <c r="F50" i="59"/>
  <c r="F26" i="60"/>
  <c r="F30" i="60"/>
  <c r="R34" i="60"/>
  <c r="F38" i="60"/>
  <c r="R46" i="60"/>
  <c r="F50" i="60"/>
  <c r="F54" i="60"/>
  <c r="F60" i="60"/>
  <c r="N31" i="62"/>
  <c r="L31" i="62"/>
  <c r="L59" i="62"/>
  <c r="N59" i="62" s="1"/>
  <c r="J30" i="63"/>
  <c r="Z66" i="63"/>
  <c r="X66" i="63"/>
  <c r="N68" i="63"/>
  <c r="L68" i="63"/>
  <c r="L62" i="65"/>
  <c r="N62" i="65" s="1"/>
  <c r="T31" i="69"/>
  <c r="X19" i="69"/>
  <c r="Z19" i="69" s="1"/>
  <c r="L49" i="58"/>
  <c r="X67" i="58"/>
  <c r="L69" i="58"/>
  <c r="N69" i="58" s="1"/>
  <c r="N14" i="59"/>
  <c r="F16" i="59"/>
  <c r="V16" i="59"/>
  <c r="F23" i="59"/>
  <c r="V26" i="59"/>
  <c r="X29" i="59"/>
  <c r="Z29" i="59" s="1"/>
  <c r="V30" i="59"/>
  <c r="J34" i="59"/>
  <c r="F35" i="59"/>
  <c r="V38" i="59"/>
  <c r="J40" i="59"/>
  <c r="F43" i="59"/>
  <c r="J46" i="59"/>
  <c r="J50" i="59"/>
  <c r="F51" i="59"/>
  <c r="F54" i="59"/>
  <c r="V54" i="59"/>
  <c r="J58" i="59"/>
  <c r="J64" i="59"/>
  <c r="F14" i="60"/>
  <c r="F18" i="60"/>
  <c r="L19" i="60"/>
  <c r="N19" i="60" s="1"/>
  <c r="R23" i="60"/>
  <c r="J26" i="60"/>
  <c r="F27" i="60"/>
  <c r="J30" i="60"/>
  <c r="F31" i="60"/>
  <c r="R35" i="60"/>
  <c r="J38" i="60"/>
  <c r="F39" i="60"/>
  <c r="R40" i="60"/>
  <c r="F42" i="60"/>
  <c r="V42" i="60"/>
  <c r="R43" i="60"/>
  <c r="J44" i="60"/>
  <c r="V46" i="60"/>
  <c r="L47" i="60"/>
  <c r="J50" i="60"/>
  <c r="F51" i="60"/>
  <c r="J54" i="60"/>
  <c r="F56" i="60"/>
  <c r="V56" i="60"/>
  <c r="J60" i="60"/>
  <c r="F62" i="60"/>
  <c r="V62" i="60"/>
  <c r="F59" i="61"/>
  <c r="F53" i="61"/>
  <c r="F44" i="61"/>
  <c r="F41" i="61"/>
  <c r="F37" i="61"/>
  <c r="F25" i="61"/>
  <c r="F43" i="61"/>
  <c r="F35" i="61"/>
  <c r="F23" i="61"/>
  <c r="F16" i="61"/>
  <c r="F14" i="61"/>
  <c r="X16" i="61"/>
  <c r="F20" i="61"/>
  <c r="J21" i="61"/>
  <c r="J30" i="61"/>
  <c r="J31" i="61"/>
  <c r="J32" i="61"/>
  <c r="J33" i="61"/>
  <c r="N40" i="61"/>
  <c r="J41" i="61"/>
  <c r="J47" i="61"/>
  <c r="Z52" i="61"/>
  <c r="F57" i="61"/>
  <c r="L14" i="62"/>
  <c r="F54" i="62"/>
  <c r="Z65" i="62"/>
  <c r="X65" i="62"/>
  <c r="X18" i="63"/>
  <c r="Z18" i="63" s="1"/>
  <c r="H84" i="63"/>
  <c r="J84" i="63" s="1"/>
  <c r="Z19" i="64"/>
  <c r="D12" i="65"/>
  <c r="V27" i="65"/>
  <c r="V44" i="65"/>
  <c r="J62" i="65"/>
  <c r="F19" i="59"/>
  <c r="V19" i="59"/>
  <c r="J23" i="59"/>
  <c r="F24" i="59"/>
  <c r="V27" i="59"/>
  <c r="J29" i="59"/>
  <c r="V31" i="59"/>
  <c r="J35" i="59"/>
  <c r="F36" i="59"/>
  <c r="V39" i="59"/>
  <c r="J43" i="59"/>
  <c r="F44" i="59"/>
  <c r="F47" i="59"/>
  <c r="V47" i="59"/>
  <c r="J51" i="59"/>
  <c r="V55" i="59"/>
  <c r="L12" i="60"/>
  <c r="P16" i="60"/>
  <c r="F20" i="60"/>
  <c r="R24" i="60"/>
  <c r="J27" i="60"/>
  <c r="F28" i="60"/>
  <c r="R29" i="60"/>
  <c r="J31" i="60"/>
  <c r="F32" i="60"/>
  <c r="R36" i="60"/>
  <c r="J39" i="60"/>
  <c r="V43" i="60"/>
  <c r="F48" i="60"/>
  <c r="R49" i="60"/>
  <c r="J51" i="60"/>
  <c r="F52" i="60"/>
  <c r="R53" i="60"/>
  <c r="J36" i="61"/>
  <c r="J24" i="61"/>
  <c r="J16" i="61"/>
  <c r="J64" i="61"/>
  <c r="J52" i="61"/>
  <c r="J46" i="61"/>
  <c r="J40" i="61"/>
  <c r="J34" i="61"/>
  <c r="J22" i="61"/>
  <c r="D16" i="61"/>
  <c r="X18" i="61"/>
  <c r="Z18" i="61" s="1"/>
  <c r="J20" i="61"/>
  <c r="X29" i="61"/>
  <c r="L40" i="61"/>
  <c r="F42" i="61"/>
  <c r="F48" i="61"/>
  <c r="F49" i="61"/>
  <c r="J57" i="61"/>
  <c r="J61" i="61"/>
  <c r="F64" i="61"/>
  <c r="F92" i="62"/>
  <c r="F80" i="62"/>
  <c r="F67" i="62"/>
  <c r="F64" i="62"/>
  <c r="F59" i="62"/>
  <c r="F56" i="62"/>
  <c r="F51" i="62"/>
  <c r="F36" i="62"/>
  <c r="F31" i="62"/>
  <c r="F24" i="62"/>
  <c r="F17" i="62"/>
  <c r="F98" i="62"/>
  <c r="F96" i="62"/>
  <c r="F91" i="62"/>
  <c r="F86" i="62"/>
  <c r="F74" i="62"/>
  <c r="F47" i="62"/>
  <c r="F42" i="62"/>
  <c r="F35" i="62"/>
  <c r="F23" i="62"/>
  <c r="D17" i="62"/>
  <c r="F15" i="62"/>
  <c r="F94" i="62"/>
  <c r="F77" i="62"/>
  <c r="F69" i="62"/>
  <c r="F66" i="62"/>
  <c r="F61" i="62"/>
  <c r="F58" i="62"/>
  <c r="F53" i="62"/>
  <c r="F50" i="62"/>
  <c r="F34" i="62"/>
  <c r="F30" i="62"/>
  <c r="F22" i="62"/>
  <c r="F104" i="62"/>
  <c r="F88" i="62"/>
  <c r="F85" i="62"/>
  <c r="F73" i="62"/>
  <c r="F49" i="62"/>
  <c r="F44" i="62"/>
  <c r="F41" i="62"/>
  <c r="F33" i="62"/>
  <c r="F29" i="62"/>
  <c r="F21" i="62"/>
  <c r="F102" i="62"/>
  <c r="F97" i="62"/>
  <c r="F84" i="62"/>
  <c r="F79" i="62"/>
  <c r="F76" i="62"/>
  <c r="F72" i="62"/>
  <c r="F68" i="62"/>
  <c r="F63" i="62"/>
  <c r="F60" i="62"/>
  <c r="F55" i="62"/>
  <c r="F52" i="62"/>
  <c r="F40" i="62"/>
  <c r="F32" i="62"/>
  <c r="F28" i="62"/>
  <c r="F90" i="62"/>
  <c r="F87" i="62"/>
  <c r="F83" i="62"/>
  <c r="F75" i="62"/>
  <c r="F71" i="62"/>
  <c r="F46" i="62"/>
  <c r="F43" i="62"/>
  <c r="F39" i="62"/>
  <c r="F27" i="62"/>
  <c r="F14" i="62"/>
  <c r="F19" i="62"/>
  <c r="Z44" i="62"/>
  <c r="Z61" i="62"/>
  <c r="F100" i="62"/>
  <c r="X57" i="63"/>
  <c r="Z57" i="63" s="1"/>
  <c r="T31" i="64"/>
  <c r="Z16" i="64"/>
  <c r="X33" i="65"/>
  <c r="Z33" i="65" s="1"/>
  <c r="V48" i="65"/>
  <c r="Z58" i="65"/>
  <c r="V63" i="65"/>
  <c r="Z68" i="65"/>
  <c r="X68" i="65"/>
  <c r="F20" i="62"/>
  <c r="F26" i="62"/>
  <c r="N46" i="62"/>
  <c r="Z55" i="62"/>
  <c r="L67" i="62"/>
  <c r="N67" i="62" s="1"/>
  <c r="X90" i="62"/>
  <c r="Z90" i="62" s="1"/>
  <c r="X93" i="62"/>
  <c r="Z93" i="62" s="1"/>
  <c r="N33" i="63"/>
  <c r="Z53" i="63"/>
  <c r="V57" i="63"/>
  <c r="R24" i="64"/>
  <c r="R21" i="64"/>
  <c r="P16" i="64"/>
  <c r="R33" i="64"/>
  <c r="R27" i="64"/>
  <c r="R38" i="64"/>
  <c r="R31" i="64"/>
  <c r="R23" i="64"/>
  <c r="R26" i="64"/>
  <c r="R18" i="64"/>
  <c r="R14" i="64"/>
  <c r="R20" i="64"/>
  <c r="X12" i="64"/>
  <c r="X13" i="65"/>
  <c r="Z13" i="65" s="1"/>
  <c r="N60" i="65"/>
  <c r="F26" i="59"/>
  <c r="F30" i="59"/>
  <c r="F38" i="59"/>
  <c r="F45" i="59"/>
  <c r="D16" i="60"/>
  <c r="R19" i="60"/>
  <c r="F22" i="60"/>
  <c r="R26" i="60"/>
  <c r="F29" i="60"/>
  <c r="R30" i="60"/>
  <c r="F34" i="60"/>
  <c r="R38" i="60"/>
  <c r="F46" i="60"/>
  <c r="R47" i="60"/>
  <c r="F49" i="60"/>
  <c r="R50" i="60"/>
  <c r="F53" i="60"/>
  <c r="R54" i="60"/>
  <c r="R60" i="60"/>
  <c r="N18" i="61"/>
  <c r="F45" i="62"/>
  <c r="N51" i="62"/>
  <c r="L51" i="62"/>
  <c r="F57" i="62"/>
  <c r="F62" i="62"/>
  <c r="F78" i="62"/>
  <c r="F81" i="62"/>
  <c r="N59" i="63"/>
  <c r="L59" i="63"/>
  <c r="Z21" i="64"/>
  <c r="X21" i="64"/>
  <c r="V43" i="65"/>
  <c r="V47" i="65"/>
  <c r="V55" i="65"/>
  <c r="X72" i="65"/>
  <c r="Z72" i="65" s="1"/>
  <c r="L74" i="65"/>
  <c r="N74" i="65" s="1"/>
  <c r="J74" i="65"/>
  <c r="X77" i="65"/>
  <c r="Z77" i="65" s="1"/>
  <c r="F14" i="59"/>
  <c r="V14" i="59"/>
  <c r="F18" i="59"/>
  <c r="V18" i="59"/>
  <c r="V22" i="59"/>
  <c r="J26" i="59"/>
  <c r="F27" i="59"/>
  <c r="J30" i="59"/>
  <c r="F31" i="59"/>
  <c r="V34" i="59"/>
  <c r="J38" i="59"/>
  <c r="F39" i="59"/>
  <c r="F42" i="59"/>
  <c r="V42" i="59"/>
  <c r="V46" i="59"/>
  <c r="V50" i="59"/>
  <c r="J52" i="59"/>
  <c r="F55" i="59"/>
  <c r="J60" i="59"/>
  <c r="J67" i="59"/>
  <c r="N14" i="60"/>
  <c r="F16" i="60"/>
  <c r="V16" i="60"/>
  <c r="J22" i="60"/>
  <c r="F23" i="60"/>
  <c r="V26" i="60"/>
  <c r="R27" i="60"/>
  <c r="V30" i="60"/>
  <c r="R31" i="60"/>
  <c r="J34" i="60"/>
  <c r="F35" i="60"/>
  <c r="V38" i="60"/>
  <c r="R39" i="60"/>
  <c r="J40" i="60"/>
  <c r="F43" i="60"/>
  <c r="R44" i="60"/>
  <c r="J46" i="60"/>
  <c r="V50" i="60"/>
  <c r="R51" i="60"/>
  <c r="V54" i="60"/>
  <c r="F58" i="60"/>
  <c r="V58" i="60"/>
  <c r="V60" i="60"/>
  <c r="F65" i="60"/>
  <c r="V65" i="60"/>
  <c r="R45" i="61"/>
  <c r="R42" i="61"/>
  <c r="R33" i="61"/>
  <c r="R21" i="61"/>
  <c r="R18" i="61"/>
  <c r="R14" i="61"/>
  <c r="R51" i="61"/>
  <c r="R44" i="61"/>
  <c r="R39" i="61"/>
  <c r="R31" i="61"/>
  <c r="R27" i="61"/>
  <c r="J18" i="61"/>
  <c r="Z40" i="61"/>
  <c r="R47" i="61"/>
  <c r="R48" i="61"/>
  <c r="J50" i="61"/>
  <c r="J53" i="61"/>
  <c r="F55" i="61"/>
  <c r="R57" i="61"/>
  <c r="R61" i="61"/>
  <c r="R64" i="61"/>
  <c r="F25" i="62"/>
  <c r="F37" i="62"/>
  <c r="F38" i="62"/>
  <c r="N57" i="62"/>
  <c r="Z79" i="62"/>
  <c r="F107" i="62"/>
  <c r="P12" i="63"/>
  <c r="N18" i="63"/>
  <c r="X33" i="63"/>
  <c r="Z33" i="63" s="1"/>
  <c r="J59" i="63"/>
  <c r="N71" i="63"/>
  <c r="L71" i="63"/>
  <c r="N19" i="65"/>
  <c r="L19" i="65"/>
  <c r="J19" i="65"/>
  <c r="L34" i="65"/>
  <c r="N34" i="65" s="1"/>
  <c r="Z56" i="65"/>
  <c r="Z60" i="65"/>
  <c r="X60" i="65"/>
  <c r="R66" i="68"/>
  <c r="R62" i="68"/>
  <c r="R58" i="68"/>
  <c r="R55" i="68"/>
  <c r="R42" i="68"/>
  <c r="R35" i="68"/>
  <c r="R30" i="68"/>
  <c r="P22" i="68"/>
  <c r="X12" i="68"/>
  <c r="Z12" i="68" s="1"/>
  <c r="R69" i="68"/>
  <c r="R65" i="68"/>
  <c r="R49" i="68"/>
  <c r="R46" i="68"/>
  <c r="R41" i="68"/>
  <c r="R29" i="68"/>
  <c r="R72" i="68"/>
  <c r="R64" i="68"/>
  <c r="R61" i="68"/>
  <c r="R57" i="68"/>
  <c r="R40" i="68"/>
  <c r="R28" i="68"/>
  <c r="R20" i="68"/>
  <c r="R68" i="68"/>
  <c r="R51" i="68"/>
  <c r="R48" i="68"/>
  <c r="R39" i="68"/>
  <c r="R27" i="68"/>
  <c r="R24" i="68"/>
  <c r="R63" i="68"/>
  <c r="R54" i="68"/>
  <c r="R38" i="68"/>
  <c r="R34" i="68"/>
  <c r="R26" i="68"/>
  <c r="R19" i="68"/>
  <c r="R53" i="68"/>
  <c r="R50" i="68"/>
  <c r="R45" i="68"/>
  <c r="R37" i="68"/>
  <c r="R33" i="68"/>
  <c r="R76" i="68"/>
  <c r="R71" i="68"/>
  <c r="R60" i="68"/>
  <c r="R56" i="68"/>
  <c r="R44" i="68"/>
  <c r="R36" i="68"/>
  <c r="R32" i="68"/>
  <c r="R25" i="68"/>
  <c r="R43" i="68"/>
  <c r="R59" i="68"/>
  <c r="R67" i="68"/>
  <c r="R31" i="68"/>
  <c r="R22" i="68"/>
  <c r="R52" i="68"/>
  <c r="R47" i="68"/>
  <c r="L12" i="59"/>
  <c r="X14" i="59"/>
  <c r="X18" i="59"/>
  <c r="F20" i="59"/>
  <c r="V23" i="59"/>
  <c r="F28" i="59"/>
  <c r="J31" i="59"/>
  <c r="F32" i="59"/>
  <c r="V35" i="59"/>
  <c r="J39" i="59"/>
  <c r="X42" i="59"/>
  <c r="V43" i="59"/>
  <c r="J45" i="59"/>
  <c r="F48" i="59"/>
  <c r="V51" i="59"/>
  <c r="L52" i="59"/>
  <c r="N52" i="59" s="1"/>
  <c r="F56" i="59"/>
  <c r="F62" i="59"/>
  <c r="X12" i="60"/>
  <c r="F19" i="60"/>
  <c r="R20" i="60"/>
  <c r="J23" i="60"/>
  <c r="F24" i="60"/>
  <c r="R28" i="60"/>
  <c r="J29" i="60"/>
  <c r="R32" i="60"/>
  <c r="J35" i="60"/>
  <c r="F36" i="60"/>
  <c r="J43" i="60"/>
  <c r="F47" i="60"/>
  <c r="V47" i="60"/>
  <c r="R48" i="60"/>
  <c r="J49" i="60"/>
  <c r="R52" i="60"/>
  <c r="J53" i="60"/>
  <c r="F19" i="61"/>
  <c r="F27" i="61"/>
  <c r="F28" i="61"/>
  <c r="F29" i="61"/>
  <c r="J44" i="61"/>
  <c r="F45" i="61"/>
  <c r="F46" i="61"/>
  <c r="X49" i="61"/>
  <c r="T57" i="61"/>
  <c r="Z19" i="62"/>
  <c r="L20" i="62"/>
  <c r="N20" i="62" s="1"/>
  <c r="Z46" i="62"/>
  <c r="X46" i="62"/>
  <c r="F48" i="62"/>
  <c r="F65" i="62"/>
  <c r="F70" i="62"/>
  <c r="D31" i="64"/>
  <c r="L16" i="64"/>
  <c r="N19" i="64"/>
  <c r="N23" i="64"/>
  <c r="L23" i="64"/>
  <c r="V85" i="65"/>
  <c r="V79" i="65"/>
  <c r="V75" i="65"/>
  <c r="V74" i="65"/>
  <c r="V62" i="65"/>
  <c r="V54" i="65"/>
  <c r="V46" i="65"/>
  <c r="V42" i="65"/>
  <c r="V34" i="65"/>
  <c r="V26" i="65"/>
  <c r="V84" i="65"/>
  <c r="V76" i="65"/>
  <c r="V65" i="65"/>
  <c r="V57" i="65"/>
  <c r="V53" i="65"/>
  <c r="V45" i="65"/>
  <c r="V41" i="65"/>
  <c r="V25" i="65"/>
  <c r="V83" i="65"/>
  <c r="V82" i="65"/>
  <c r="V64" i="65"/>
  <c r="V56" i="65"/>
  <c r="V52" i="65"/>
  <c r="V40" i="65"/>
  <c r="T31" i="65"/>
  <c r="V24" i="65"/>
  <c r="V71" i="65"/>
  <c r="V67" i="65"/>
  <c r="V59" i="65"/>
  <c r="V51" i="65"/>
  <c r="V39" i="65"/>
  <c r="V23" i="65"/>
  <c r="V81" i="65"/>
  <c r="V70" i="65"/>
  <c r="V66" i="65"/>
  <c r="V58" i="65"/>
  <c r="V50" i="65"/>
  <c r="V38" i="65"/>
  <c r="V22" i="65"/>
  <c r="V73" i="65"/>
  <c r="V69" i="65"/>
  <c r="V61" i="65"/>
  <c r="V49" i="65"/>
  <c r="V37" i="65"/>
  <c r="V33" i="65"/>
  <c r="V29" i="65"/>
  <c r="V21" i="65"/>
  <c r="V78" i="65"/>
  <c r="V77" i="65"/>
  <c r="V72" i="65"/>
  <c r="V68" i="65"/>
  <c r="V60" i="65"/>
  <c r="X70" i="67"/>
  <c r="Z70" i="67"/>
  <c r="F21" i="59"/>
  <c r="F33" i="59"/>
  <c r="F40" i="59"/>
  <c r="F49" i="59"/>
  <c r="F53" i="59"/>
  <c r="F58" i="59"/>
  <c r="V58" i="59"/>
  <c r="R14" i="60"/>
  <c r="R18" i="60"/>
  <c r="R21" i="60"/>
  <c r="F25" i="60"/>
  <c r="R33" i="60"/>
  <c r="F37" i="60"/>
  <c r="F41" i="60"/>
  <c r="R42" i="60"/>
  <c r="R45" i="60"/>
  <c r="R56" i="60"/>
  <c r="J58" i="60"/>
  <c r="F39" i="61"/>
  <c r="R43" i="61"/>
  <c r="J45" i="61"/>
  <c r="F47" i="61"/>
  <c r="R49" i="61"/>
  <c r="J55" i="61"/>
  <c r="X17" i="62"/>
  <c r="N48" i="62"/>
  <c r="L48" i="62"/>
  <c r="Z57" i="62"/>
  <c r="X57" i="62"/>
  <c r="Z32" i="63"/>
  <c r="L79" i="63"/>
  <c r="N79" i="63" s="1"/>
  <c r="V35" i="65"/>
  <c r="V89" i="65"/>
  <c r="V102" i="67"/>
  <c r="V96" i="67"/>
  <c r="V92" i="67"/>
  <c r="V88" i="67"/>
  <c r="V84" i="67"/>
  <c r="V76" i="67"/>
  <c r="V72" i="67"/>
  <c r="V64" i="67"/>
  <c r="V60" i="67"/>
  <c r="V48" i="67"/>
  <c r="V32" i="67"/>
  <c r="V24" i="67"/>
  <c r="V95" i="67"/>
  <c r="V91" i="67"/>
  <c r="V87" i="67"/>
  <c r="V83" i="67"/>
  <c r="V75" i="67"/>
  <c r="V67" i="67"/>
  <c r="V59" i="67"/>
  <c r="V47" i="67"/>
  <c r="V31" i="67"/>
  <c r="V23" i="67"/>
  <c r="V104" i="67"/>
  <c r="V98" i="67"/>
  <c r="V94" i="67"/>
  <c r="V90" i="67"/>
  <c r="V86" i="67"/>
  <c r="V78" i="67"/>
  <c r="V74" i="67"/>
  <c r="V66" i="67"/>
  <c r="V58" i="67"/>
  <c r="V46" i="67"/>
  <c r="V42" i="67"/>
  <c r="V38" i="67"/>
  <c r="V30" i="67"/>
  <c r="V22" i="67"/>
  <c r="V109" i="67"/>
  <c r="V97" i="67"/>
  <c r="V93" i="67"/>
  <c r="V77" i="67"/>
  <c r="V69" i="67"/>
  <c r="V57" i="67"/>
  <c r="V45" i="67"/>
  <c r="V37" i="67"/>
  <c r="V29" i="67"/>
  <c r="V21" i="67"/>
  <c r="V100" i="67"/>
  <c r="V103" i="67"/>
  <c r="V99" i="67"/>
  <c r="V79" i="67"/>
  <c r="V71" i="67"/>
  <c r="V63" i="67"/>
  <c r="V55" i="67"/>
  <c r="V51" i="67"/>
  <c r="V43" i="67"/>
  <c r="V35" i="67"/>
  <c r="V27" i="67"/>
  <c r="V19" i="67"/>
  <c r="V82" i="67"/>
  <c r="V70" i="67"/>
  <c r="V62" i="67"/>
  <c r="V54" i="67"/>
  <c r="V50" i="67"/>
  <c r="V34" i="67"/>
  <c r="V26" i="67"/>
  <c r="N19" i="67"/>
  <c r="H40" i="67"/>
  <c r="V20" i="67"/>
  <c r="V56" i="67"/>
  <c r="V68" i="67"/>
  <c r="V73" i="67"/>
  <c r="V80" i="67"/>
  <c r="N52" i="68"/>
  <c r="L61" i="68"/>
  <c r="N61" i="68" s="1"/>
  <c r="V30" i="62"/>
  <c r="V34" i="62"/>
  <c r="V46" i="62"/>
  <c r="V50" i="62"/>
  <c r="V58" i="62"/>
  <c r="V66" i="62"/>
  <c r="R88" i="62"/>
  <c r="V90" i="62"/>
  <c r="R91" i="62"/>
  <c r="V94" i="62"/>
  <c r="R104" i="62"/>
  <c r="V18" i="63"/>
  <c r="V26" i="63"/>
  <c r="V34" i="63"/>
  <c r="V46" i="63"/>
  <c r="J50" i="63"/>
  <c r="J54" i="63"/>
  <c r="V58" i="63"/>
  <c r="V66" i="63"/>
  <c r="J68" i="63"/>
  <c r="V70" i="63"/>
  <c r="V78" i="63"/>
  <c r="V16" i="64"/>
  <c r="V22" i="64"/>
  <c r="J19" i="67"/>
  <c r="V25" i="67"/>
  <c r="Z42" i="67"/>
  <c r="V53" i="67"/>
  <c r="N72" i="67"/>
  <c r="L79" i="67"/>
  <c r="N79" i="67" s="1"/>
  <c r="P102" i="67"/>
  <c r="X102" i="67" s="1"/>
  <c r="Z102" i="67" s="1"/>
  <c r="X103" i="67"/>
  <c r="Z103" i="67" s="1"/>
  <c r="R66" i="71"/>
  <c r="R53" i="71"/>
  <c r="R41" i="71"/>
  <c r="R33" i="71"/>
  <c r="R29" i="71"/>
  <c r="R22" i="71"/>
  <c r="R52" i="71"/>
  <c r="R49" i="71"/>
  <c r="R44" i="71"/>
  <c r="R40" i="71"/>
  <c r="R28" i="71"/>
  <c r="R19" i="71"/>
  <c r="R63" i="71"/>
  <c r="R55" i="71"/>
  <c r="R39" i="71"/>
  <c r="R32" i="71"/>
  <c r="R27" i="71"/>
  <c r="P19" i="71"/>
  <c r="R75" i="71"/>
  <c r="R69" i="71"/>
  <c r="R62" i="71"/>
  <c r="R58" i="71"/>
  <c r="R51" i="71"/>
  <c r="R46" i="71"/>
  <c r="R43" i="71"/>
  <c r="R38" i="71"/>
  <c r="R26" i="71"/>
  <c r="R65" i="71"/>
  <c r="R61" i="71"/>
  <c r="R57" i="71"/>
  <c r="R54" i="71"/>
  <c r="R37" i="71"/>
  <c r="R25" i="71"/>
  <c r="R17" i="71"/>
  <c r="R60" i="71"/>
  <c r="R48" i="71"/>
  <c r="R45" i="71"/>
  <c r="R36" i="71"/>
  <c r="R24" i="71"/>
  <c r="R21" i="71"/>
  <c r="X12" i="71"/>
  <c r="R71" i="71"/>
  <c r="R34" i="71"/>
  <c r="R23" i="71"/>
  <c r="R50" i="71"/>
  <c r="R35" i="71"/>
  <c r="R16" i="71"/>
  <c r="R59" i="71"/>
  <c r="R47" i="71"/>
  <c r="R42" i="71"/>
  <c r="R67" i="71"/>
  <c r="R30" i="71"/>
  <c r="R73" i="71"/>
  <c r="R64" i="71"/>
  <c r="R56" i="71"/>
  <c r="R31" i="71"/>
  <c r="D24" i="72"/>
  <c r="V23" i="62"/>
  <c r="V35" i="62"/>
  <c r="V47" i="62"/>
  <c r="V55" i="62"/>
  <c r="V63" i="62"/>
  <c r="R69" i="62"/>
  <c r="R77" i="62"/>
  <c r="V79" i="62"/>
  <c r="R80" i="62"/>
  <c r="V91" i="62"/>
  <c r="R92" i="62"/>
  <c r="P96" i="62"/>
  <c r="X96" i="62" s="1"/>
  <c r="Z96" i="62" s="1"/>
  <c r="R98" i="62"/>
  <c r="V19" i="63"/>
  <c r="V27" i="63"/>
  <c r="J33" i="63"/>
  <c r="V35" i="63"/>
  <c r="J39" i="63"/>
  <c r="J43" i="63"/>
  <c r="V47" i="63"/>
  <c r="J51" i="63"/>
  <c r="V55" i="63"/>
  <c r="J57" i="63"/>
  <c r="J63" i="63"/>
  <c r="V67" i="63"/>
  <c r="J75" i="63"/>
  <c r="H16" i="64"/>
  <c r="V19" i="64"/>
  <c r="J21" i="64"/>
  <c r="J27" i="64"/>
  <c r="V29" i="64"/>
  <c r="J33" i="64"/>
  <c r="V35" i="64"/>
  <c r="L16" i="65"/>
  <c r="J42" i="65"/>
  <c r="J46" i="65"/>
  <c r="J54" i="65"/>
  <c r="J60" i="65"/>
  <c r="J68" i="65"/>
  <c r="J72" i="65"/>
  <c r="J75" i="65"/>
  <c r="J76" i="65"/>
  <c r="P81" i="65"/>
  <c r="X81" i="65" s="1"/>
  <c r="Z81" i="65" s="1"/>
  <c r="X82" i="65"/>
  <c r="Z82" i="65" s="1"/>
  <c r="T40" i="67"/>
  <c r="V81" i="67"/>
  <c r="V89" i="67"/>
  <c r="V24" i="62"/>
  <c r="V36" i="62"/>
  <c r="V44" i="62"/>
  <c r="V56" i="62"/>
  <c r="V64" i="62"/>
  <c r="R74" i="62"/>
  <c r="V80" i="62"/>
  <c r="R81" i="62"/>
  <c r="R86" i="62"/>
  <c r="V88" i="62"/>
  <c r="R89" i="62"/>
  <c r="V92" i="62"/>
  <c r="R96" i="62"/>
  <c r="V98" i="62"/>
  <c r="V104" i="62"/>
  <c r="V20" i="63"/>
  <c r="V28" i="63"/>
  <c r="V32" i="63"/>
  <c r="V36" i="63"/>
  <c r="J40" i="63"/>
  <c r="J44" i="63"/>
  <c r="V48" i="63"/>
  <c r="J52" i="63"/>
  <c r="V56" i="63"/>
  <c r="J60" i="63"/>
  <c r="V64" i="63"/>
  <c r="J66" i="63"/>
  <c r="J72" i="63"/>
  <c r="J76" i="63"/>
  <c r="J80" i="63"/>
  <c r="V82" i="63"/>
  <c r="J86" i="63"/>
  <c r="Z12" i="64"/>
  <c r="V20" i="64"/>
  <c r="D81" i="65"/>
  <c r="L81" i="65" s="1"/>
  <c r="J85" i="65"/>
  <c r="V28" i="67"/>
  <c r="V44" i="67"/>
  <c r="V65" i="67"/>
  <c r="V85" i="67"/>
  <c r="N99" i="67"/>
  <c r="Z35" i="68"/>
  <c r="X35" i="68"/>
  <c r="V35" i="68"/>
  <c r="Z55" i="68"/>
  <c r="X55" i="68"/>
  <c r="V55" i="68"/>
  <c r="L57" i="68"/>
  <c r="N57" i="68" s="1"/>
  <c r="V16" i="61"/>
  <c r="V26" i="61"/>
  <c r="V30" i="61"/>
  <c r="V38" i="61"/>
  <c r="V50" i="61"/>
  <c r="R17" i="62"/>
  <c r="V25" i="62"/>
  <c r="R26" i="62"/>
  <c r="R31" i="62"/>
  <c r="V37" i="62"/>
  <c r="R38" i="62"/>
  <c r="V45" i="62"/>
  <c r="R51" i="62"/>
  <c r="V53" i="62"/>
  <c r="R54" i="62"/>
  <c r="R59" i="62"/>
  <c r="V61" i="62"/>
  <c r="R62" i="62"/>
  <c r="R67" i="62"/>
  <c r="V69" i="62"/>
  <c r="R70" i="62"/>
  <c r="V77" i="62"/>
  <c r="R78" i="62"/>
  <c r="V81" i="62"/>
  <c r="R82" i="62"/>
  <c r="V89" i="62"/>
  <c r="D96" i="62"/>
  <c r="L96" i="62" s="1"/>
  <c r="N96" i="62" s="1"/>
  <c r="D12" i="63"/>
  <c r="V21" i="63"/>
  <c r="J25" i="63"/>
  <c r="V37" i="63"/>
  <c r="J41" i="63"/>
  <c r="J45" i="63"/>
  <c r="V49" i="63"/>
  <c r="V53" i="63"/>
  <c r="J55" i="63"/>
  <c r="J61" i="63"/>
  <c r="V65" i="63"/>
  <c r="J69" i="63"/>
  <c r="J73" i="63"/>
  <c r="J77" i="63"/>
  <c r="J19" i="64"/>
  <c r="F22" i="64"/>
  <c r="J25" i="64"/>
  <c r="J29" i="64"/>
  <c r="J35" i="64"/>
  <c r="J89" i="65"/>
  <c r="J84" i="65"/>
  <c r="J77" i="65"/>
  <c r="J20" i="65"/>
  <c r="J28" i="65"/>
  <c r="J36" i="65"/>
  <c r="J44" i="65"/>
  <c r="J48" i="65"/>
  <c r="J58" i="65"/>
  <c r="J66" i="65"/>
  <c r="J78" i="65"/>
  <c r="L43" i="67"/>
  <c r="N43" i="67" s="1"/>
  <c r="J43" i="67"/>
  <c r="V61" i="67"/>
  <c r="N64" i="67"/>
  <c r="Z79" i="67"/>
  <c r="Z86" i="67"/>
  <c r="Z90" i="67"/>
  <c r="N25" i="68"/>
  <c r="Z22" i="71"/>
  <c r="V22" i="71"/>
  <c r="R78" i="71"/>
  <c r="T17" i="62"/>
  <c r="V26" i="62"/>
  <c r="V38" i="62"/>
  <c r="V42" i="62"/>
  <c r="V54" i="62"/>
  <c r="V62" i="62"/>
  <c r="V70" i="62"/>
  <c r="R71" i="62"/>
  <c r="V74" i="62"/>
  <c r="R75" i="62"/>
  <c r="V78" i="62"/>
  <c r="V82" i="62"/>
  <c r="R83" i="62"/>
  <c r="V86" i="62"/>
  <c r="R87" i="62"/>
  <c r="V96" i="62"/>
  <c r="R100" i="62"/>
  <c r="R107" i="62"/>
  <c r="V22" i="63"/>
  <c r="J26" i="63"/>
  <c r="J32" i="63"/>
  <c r="J34" i="63"/>
  <c r="V38" i="63"/>
  <c r="V42" i="63"/>
  <c r="J46" i="63"/>
  <c r="V50" i="63"/>
  <c r="V54" i="63"/>
  <c r="J58" i="63"/>
  <c r="V62" i="63"/>
  <c r="J64" i="63"/>
  <c r="J70" i="63"/>
  <c r="V74" i="63"/>
  <c r="J78" i="63"/>
  <c r="J82" i="63"/>
  <c r="V14" i="64"/>
  <c r="V18" i="64"/>
  <c r="V26" i="64"/>
  <c r="J69" i="65"/>
  <c r="J73" i="65"/>
  <c r="J79" i="65"/>
  <c r="N81" i="65"/>
  <c r="V33" i="67"/>
  <c r="X93" i="67"/>
  <c r="Z93" i="67" s="1"/>
  <c r="V105" i="67"/>
  <c r="L15" i="68"/>
  <c r="D12" i="68"/>
  <c r="Z12" i="61"/>
  <c r="V20" i="61"/>
  <c r="V28" i="61"/>
  <c r="V32" i="61"/>
  <c r="V44" i="61"/>
  <c r="X12" i="62"/>
  <c r="V17" i="62"/>
  <c r="V27" i="62"/>
  <c r="R28" i="62"/>
  <c r="V31" i="62"/>
  <c r="R32" i="62"/>
  <c r="V39" i="62"/>
  <c r="R40" i="62"/>
  <c r="V43" i="62"/>
  <c r="V51" i="62"/>
  <c r="R52" i="62"/>
  <c r="R57" i="62"/>
  <c r="V59" i="62"/>
  <c r="R60" i="62"/>
  <c r="R65" i="62"/>
  <c r="V67" i="62"/>
  <c r="R68" i="62"/>
  <c r="V71" i="62"/>
  <c r="R72" i="62"/>
  <c r="V75" i="62"/>
  <c r="R76" i="62"/>
  <c r="V83" i="62"/>
  <c r="R84" i="62"/>
  <c r="R93" i="62"/>
  <c r="J19" i="63"/>
  <c r="V23" i="63"/>
  <c r="J27" i="63"/>
  <c r="T30" i="63"/>
  <c r="J35" i="63"/>
  <c r="V39" i="63"/>
  <c r="V43" i="63"/>
  <c r="J47" i="63"/>
  <c r="V51" i="63"/>
  <c r="J53" i="63"/>
  <c r="V59" i="63"/>
  <c r="V63" i="63"/>
  <c r="V71" i="63"/>
  <c r="V75" i="63"/>
  <c r="L12" i="64"/>
  <c r="F20" i="64"/>
  <c r="F23" i="64"/>
  <c r="V23" i="64"/>
  <c r="V27" i="64"/>
  <c r="F31" i="64"/>
  <c r="V31" i="64"/>
  <c r="V33" i="64"/>
  <c r="J22" i="65"/>
  <c r="H31" i="65"/>
  <c r="J38" i="65"/>
  <c r="J50" i="65"/>
  <c r="J56" i="65"/>
  <c r="J64" i="65"/>
  <c r="J70" i="65"/>
  <c r="J81" i="65"/>
  <c r="N81" i="67"/>
  <c r="J58" i="67"/>
  <c r="J64" i="67"/>
  <c r="J72" i="67"/>
  <c r="J78" i="67"/>
  <c r="J94" i="67"/>
  <c r="J98" i="67"/>
  <c r="J102" i="67"/>
  <c r="T22" i="68"/>
  <c r="J39" i="68"/>
  <c r="J51" i="68"/>
  <c r="J57" i="68"/>
  <c r="J61" i="68"/>
  <c r="V67" i="68"/>
  <c r="J72" i="68"/>
  <c r="P12" i="69"/>
  <c r="X34" i="69"/>
  <c r="Z34" i="69" s="1"/>
  <c r="Z56" i="69"/>
  <c r="X62" i="69"/>
  <c r="Z62" i="69" s="1"/>
  <c r="N64" i="69"/>
  <c r="L64" i="69"/>
  <c r="N48" i="75"/>
  <c r="L48" i="75"/>
  <c r="J48" i="75"/>
  <c r="H93" i="75"/>
  <c r="J89" i="75"/>
  <c r="V24" i="76"/>
  <c r="V20" i="76"/>
  <c r="V32" i="76"/>
  <c r="V26" i="76"/>
  <c r="V18" i="76"/>
  <c r="T22" i="76"/>
  <c r="V22" i="76"/>
  <c r="Z12" i="76"/>
  <c r="V25" i="76"/>
  <c r="V17" i="76"/>
  <c r="V28" i="76"/>
  <c r="V19" i="76"/>
  <c r="P12" i="67"/>
  <c r="J47" i="67"/>
  <c r="J53" i="67"/>
  <c r="J59" i="67"/>
  <c r="J67" i="67"/>
  <c r="J75" i="67"/>
  <c r="J81" i="67"/>
  <c r="J87" i="67"/>
  <c r="J91" i="67"/>
  <c r="J95" i="67"/>
  <c r="J20" i="68"/>
  <c r="J28" i="68"/>
  <c r="J40" i="68"/>
  <c r="J46" i="68"/>
  <c r="V52" i="68"/>
  <c r="V56" i="68"/>
  <c r="V60" i="68"/>
  <c r="J64" i="68"/>
  <c r="V76" i="68"/>
  <c r="V67" i="69"/>
  <c r="V59" i="69"/>
  <c r="V51" i="69"/>
  <c r="V39" i="69"/>
  <c r="V23" i="69"/>
  <c r="V76" i="69"/>
  <c r="V70" i="69"/>
  <c r="V66" i="69"/>
  <c r="V58" i="69"/>
  <c r="V50" i="69"/>
  <c r="V38" i="69"/>
  <c r="V22" i="69"/>
  <c r="V81" i="69"/>
  <c r="V69" i="69"/>
  <c r="V61" i="69"/>
  <c r="V49" i="69"/>
  <c r="V37" i="69"/>
  <c r="V33" i="69"/>
  <c r="V29" i="69"/>
  <c r="V21" i="69"/>
  <c r="V72" i="69"/>
  <c r="V68" i="69"/>
  <c r="V60" i="69"/>
  <c r="V48" i="69"/>
  <c r="V44" i="69"/>
  <c r="V36" i="69"/>
  <c r="V28" i="69"/>
  <c r="V75" i="69"/>
  <c r="V71" i="69"/>
  <c r="V63" i="69"/>
  <c r="V55" i="69"/>
  <c r="V47" i="69"/>
  <c r="V43" i="69"/>
  <c r="V35" i="69"/>
  <c r="V27" i="69"/>
  <c r="V19" i="69"/>
  <c r="V62" i="69"/>
  <c r="V54" i="69"/>
  <c r="V46" i="69"/>
  <c r="V42" i="69"/>
  <c r="V34" i="69"/>
  <c r="V26" i="69"/>
  <c r="Z45" i="69"/>
  <c r="V56" i="69"/>
  <c r="Z21" i="71"/>
  <c r="X47" i="71"/>
  <c r="L49" i="71"/>
  <c r="X59" i="71"/>
  <c r="Z59" i="71" s="1"/>
  <c r="R77" i="74"/>
  <c r="R73" i="74"/>
  <c r="R69" i="74"/>
  <c r="R65" i="74"/>
  <c r="R61" i="74"/>
  <c r="R58" i="74"/>
  <c r="R53" i="74"/>
  <c r="R37" i="74"/>
  <c r="R33" i="74"/>
  <c r="R25" i="74"/>
  <c r="R17" i="74"/>
  <c r="R86" i="74"/>
  <c r="R80" i="74"/>
  <c r="R72" i="74"/>
  <c r="R68" i="74"/>
  <c r="R64" i="74"/>
  <c r="R52" i="74"/>
  <c r="R49" i="74"/>
  <c r="R44" i="74"/>
  <c r="R36" i="74"/>
  <c r="R32" i="74"/>
  <c r="X12" i="74"/>
  <c r="Z12" i="74" s="1"/>
  <c r="R76" i="74"/>
  <c r="R71" i="74"/>
  <c r="R67" i="74"/>
  <c r="R63" i="74"/>
  <c r="R60" i="74"/>
  <c r="R55" i="74"/>
  <c r="R43" i="74"/>
  <c r="R35" i="74"/>
  <c r="R31" i="74"/>
  <c r="R24" i="74"/>
  <c r="R16" i="74"/>
  <c r="R79" i="74"/>
  <c r="R70" i="74"/>
  <c r="R66" i="74"/>
  <c r="R62" i="74"/>
  <c r="R57" i="74"/>
  <c r="R54" i="74"/>
  <c r="R41" i="74"/>
  <c r="R34" i="74"/>
  <c r="R29" i="74"/>
  <c r="P21" i="74"/>
  <c r="R75" i="74"/>
  <c r="R59" i="74"/>
  <c r="R51" i="74"/>
  <c r="R40" i="74"/>
  <c r="R30" i="74"/>
  <c r="R19" i="74"/>
  <c r="R21" i="74"/>
  <c r="R50" i="74"/>
  <c r="R47" i="74"/>
  <c r="R42" i="74"/>
  <c r="R23" i="74"/>
  <c r="R78" i="74"/>
  <c r="R48" i="74"/>
  <c r="R26" i="74"/>
  <c r="R46" i="74"/>
  <c r="R82" i="74"/>
  <c r="R45" i="74"/>
  <c r="R38" i="74"/>
  <c r="R27" i="74"/>
  <c r="R74" i="74"/>
  <c r="R56" i="74"/>
  <c r="R28" i="74"/>
  <c r="R18" i="74"/>
  <c r="J105" i="67"/>
  <c r="J55" i="68"/>
  <c r="J65" i="68"/>
  <c r="J69" i="68"/>
  <c r="H74" i="68"/>
  <c r="J74" i="68" s="1"/>
  <c r="V77" i="69"/>
  <c r="H71" i="71"/>
  <c r="J49" i="67"/>
  <c r="J61" i="67"/>
  <c r="J65" i="67"/>
  <c r="J73" i="67"/>
  <c r="J79" i="67"/>
  <c r="J85" i="67"/>
  <c r="J89" i="67"/>
  <c r="J99" i="67"/>
  <c r="X15" i="68"/>
  <c r="J22" i="68"/>
  <c r="J30" i="68"/>
  <c r="J42" i="68"/>
  <c r="V50" i="68"/>
  <c r="J52" i="68"/>
  <c r="J58" i="68"/>
  <c r="J62" i="68"/>
  <c r="J66" i="68"/>
  <c r="N19" i="69"/>
  <c r="V64" i="69"/>
  <c r="Z47" i="71"/>
  <c r="X66" i="71"/>
  <c r="P29" i="73"/>
  <c r="L23" i="74"/>
  <c r="F23" i="74"/>
  <c r="V77" i="79"/>
  <c r="V71" i="79"/>
  <c r="V67" i="79"/>
  <c r="V59" i="79"/>
  <c r="V55" i="79"/>
  <c r="V51" i="79"/>
  <c r="V43" i="79"/>
  <c r="V35" i="79"/>
  <c r="V23" i="79"/>
  <c r="V62" i="79"/>
  <c r="V58" i="79"/>
  <c r="V54" i="79"/>
  <c r="V46" i="79"/>
  <c r="V42" i="79"/>
  <c r="V34" i="79"/>
  <c r="V22" i="79"/>
  <c r="V18" i="79"/>
  <c r="V14" i="79"/>
  <c r="V61" i="79"/>
  <c r="V57" i="79"/>
  <c r="V53" i="79"/>
  <c r="V45" i="79"/>
  <c r="V33" i="79"/>
  <c r="V21" i="79"/>
  <c r="V70" i="79"/>
  <c r="V64" i="79"/>
  <c r="V48" i="79"/>
  <c r="V32" i="79"/>
  <c r="V28" i="79"/>
  <c r="V20" i="79"/>
  <c r="Z12" i="79"/>
  <c r="V80" i="79"/>
  <c r="V75" i="79"/>
  <c r="V73" i="79"/>
  <c r="V63" i="79"/>
  <c r="V47" i="79"/>
  <c r="V39" i="79"/>
  <c r="V31" i="79"/>
  <c r="V27" i="79"/>
  <c r="V19" i="79"/>
  <c r="X12" i="79"/>
  <c r="V65" i="79"/>
  <c r="V49" i="79"/>
  <c r="V41" i="79"/>
  <c r="V37" i="79"/>
  <c r="V29" i="79"/>
  <c r="V25" i="79"/>
  <c r="T16" i="79"/>
  <c r="V60" i="79"/>
  <c r="V52" i="79"/>
  <c r="V40" i="79"/>
  <c r="V16" i="79"/>
  <c r="V68" i="79"/>
  <c r="V38" i="79"/>
  <c r="V24" i="79"/>
  <c r="V50" i="79"/>
  <c r="V44" i="79"/>
  <c r="V66" i="79"/>
  <c r="V56" i="79"/>
  <c r="V36" i="79"/>
  <c r="V26" i="79"/>
  <c r="V30" i="79"/>
  <c r="J62" i="67"/>
  <c r="J68" i="67"/>
  <c r="J82" i="67"/>
  <c r="X97" i="67"/>
  <c r="Z97" i="67" s="1"/>
  <c r="L99" i="67"/>
  <c r="J103" i="67"/>
  <c r="J25" i="68"/>
  <c r="J31" i="68"/>
  <c r="J43" i="68"/>
  <c r="J47" i="68"/>
  <c r="J59" i="68"/>
  <c r="V63" i="68"/>
  <c r="J67" i="68"/>
  <c r="J71" i="68"/>
  <c r="D12" i="69"/>
  <c r="V40" i="69"/>
  <c r="Z60" i="69"/>
  <c r="Z68" i="69"/>
  <c r="P74" i="69"/>
  <c r="X74" i="69" s="1"/>
  <c r="Z74" i="69" s="1"/>
  <c r="X75" i="69"/>
  <c r="Z66" i="71"/>
  <c r="J19" i="72"/>
  <c r="J16" i="72"/>
  <c r="H16" i="72"/>
  <c r="L16" i="72" s="1"/>
  <c r="J26" i="72"/>
  <c r="J28" i="72"/>
  <c r="J31" i="72"/>
  <c r="J22" i="72"/>
  <c r="J20" i="72"/>
  <c r="J18" i="72"/>
  <c r="N12" i="72"/>
  <c r="N18" i="72"/>
  <c r="L18" i="72"/>
  <c r="J24" i="72"/>
  <c r="X18" i="75"/>
  <c r="Z18" i="75" s="1"/>
  <c r="V18" i="75"/>
  <c r="D12" i="67"/>
  <c r="J27" i="67"/>
  <c r="J35" i="67"/>
  <c r="J51" i="67"/>
  <c r="J55" i="67"/>
  <c r="J63" i="67"/>
  <c r="J71" i="67"/>
  <c r="J77" i="67"/>
  <c r="J93" i="67"/>
  <c r="J97" i="67"/>
  <c r="D102" i="67"/>
  <c r="L102" i="67" s="1"/>
  <c r="N102" i="67" s="1"/>
  <c r="V20" i="68"/>
  <c r="V24" i="68"/>
  <c r="V28" i="68"/>
  <c r="J32" i="68"/>
  <c r="J36" i="68"/>
  <c r="V40" i="68"/>
  <c r="J44" i="68"/>
  <c r="V48" i="68"/>
  <c r="J50" i="68"/>
  <c r="J56" i="68"/>
  <c r="J60" i="68"/>
  <c r="V64" i="68"/>
  <c r="V68" i="68"/>
  <c r="V72" i="68"/>
  <c r="J76" i="68"/>
  <c r="J63" i="69"/>
  <c r="J55" i="69"/>
  <c r="J47" i="69"/>
  <c r="J43" i="69"/>
  <c r="J35" i="69"/>
  <c r="J33" i="69"/>
  <c r="J27" i="69"/>
  <c r="J75" i="69"/>
  <c r="J68" i="69"/>
  <c r="J60" i="69"/>
  <c r="J54" i="69"/>
  <c r="J46" i="69"/>
  <c r="J42" i="69"/>
  <c r="J26" i="69"/>
  <c r="J71" i="69"/>
  <c r="J65" i="69"/>
  <c r="J57" i="69"/>
  <c r="J53" i="69"/>
  <c r="J41" i="69"/>
  <c r="J25" i="69"/>
  <c r="J19" i="69"/>
  <c r="J77" i="69"/>
  <c r="J62" i="69"/>
  <c r="J52" i="69"/>
  <c r="J40" i="69"/>
  <c r="J34" i="69"/>
  <c r="J67" i="69"/>
  <c r="J59" i="69"/>
  <c r="J51" i="69"/>
  <c r="J45" i="69"/>
  <c r="J39" i="69"/>
  <c r="J23" i="69"/>
  <c r="J74" i="69"/>
  <c r="J70" i="69"/>
  <c r="J64" i="69"/>
  <c r="J56" i="69"/>
  <c r="J50" i="69"/>
  <c r="J38" i="69"/>
  <c r="H31" i="69"/>
  <c r="J31" i="69" s="1"/>
  <c r="J22" i="69"/>
  <c r="L13" i="69"/>
  <c r="N13" i="69" s="1"/>
  <c r="J28" i="69"/>
  <c r="N34" i="69"/>
  <c r="J49" i="69"/>
  <c r="V53" i="69"/>
  <c r="J58" i="69"/>
  <c r="N62" i="69"/>
  <c r="N74" i="69"/>
  <c r="N32" i="71"/>
  <c r="V34" i="71"/>
  <c r="Z49" i="71"/>
  <c r="V53" i="71"/>
  <c r="Z54" i="71"/>
  <c r="L12" i="72"/>
  <c r="L13" i="73"/>
  <c r="N13" i="73" s="1"/>
  <c r="D12" i="73"/>
  <c r="P22" i="76"/>
  <c r="R28" i="76"/>
  <c r="R20" i="76"/>
  <c r="R24" i="76"/>
  <c r="R19" i="76"/>
  <c r="R25" i="76"/>
  <c r="R22" i="76"/>
  <c r="X12" i="76"/>
  <c r="R32" i="76"/>
  <c r="R18" i="76"/>
  <c r="R26" i="76"/>
  <c r="J20" i="67"/>
  <c r="J28" i="67"/>
  <c r="J36" i="67"/>
  <c r="J42" i="67"/>
  <c r="J44" i="67"/>
  <c r="J52" i="67"/>
  <c r="J56" i="67"/>
  <c r="J66" i="67"/>
  <c r="J74" i="67"/>
  <c r="J80" i="67"/>
  <c r="J86" i="67"/>
  <c r="J90" i="67"/>
  <c r="J19" i="68"/>
  <c r="V29" i="68"/>
  <c r="J33" i="68"/>
  <c r="J37" i="68"/>
  <c r="V41" i="68"/>
  <c r="J45" i="68"/>
  <c r="V49" i="68"/>
  <c r="J53" i="68"/>
  <c r="V57" i="68"/>
  <c r="V61" i="68"/>
  <c r="V65" i="68"/>
  <c r="V24" i="69"/>
  <c r="V25" i="69"/>
  <c r="J36" i="69"/>
  <c r="J48" i="69"/>
  <c r="L56" i="69"/>
  <c r="N56" i="69" s="1"/>
  <c r="J66" i="69"/>
  <c r="Z71" i="69"/>
  <c r="V52" i="71"/>
  <c r="V44" i="71"/>
  <c r="V40" i="71"/>
  <c r="V32" i="71"/>
  <c r="V28" i="71"/>
  <c r="T19" i="71"/>
  <c r="V69" i="71"/>
  <c r="V63" i="71"/>
  <c r="V55" i="71"/>
  <c r="V51" i="71"/>
  <c r="V43" i="71"/>
  <c r="V39" i="71"/>
  <c r="V27" i="71"/>
  <c r="V62" i="71"/>
  <c r="V58" i="71"/>
  <c r="V54" i="71"/>
  <c r="V46" i="71"/>
  <c r="V38" i="71"/>
  <c r="V26" i="71"/>
  <c r="V65" i="71"/>
  <c r="V61" i="71"/>
  <c r="V57" i="71"/>
  <c r="V45" i="71"/>
  <c r="V37" i="71"/>
  <c r="V25" i="71"/>
  <c r="V21" i="71"/>
  <c r="V17" i="71"/>
  <c r="V64" i="71"/>
  <c r="V60" i="71"/>
  <c r="V56" i="71"/>
  <c r="V48" i="71"/>
  <c r="V36" i="71"/>
  <c r="V24" i="71"/>
  <c r="V16" i="71"/>
  <c r="Z12" i="71"/>
  <c r="V73" i="71"/>
  <c r="V67" i="71"/>
  <c r="V59" i="71"/>
  <c r="V47" i="71"/>
  <c r="V35" i="71"/>
  <c r="V31" i="71"/>
  <c r="V23" i="71"/>
  <c r="X22" i="71"/>
  <c r="V33" i="71"/>
  <c r="V49" i="71"/>
  <c r="N64" i="71"/>
  <c r="R25" i="73"/>
  <c r="R39" i="74"/>
  <c r="R91" i="75"/>
  <c r="R85" i="75"/>
  <c r="R65" i="75"/>
  <c r="R62" i="75"/>
  <c r="R57" i="75"/>
  <c r="R54" i="75"/>
  <c r="R49" i="75"/>
  <c r="R45" i="75"/>
  <c r="R33" i="75"/>
  <c r="R18" i="75"/>
  <c r="R81" i="75"/>
  <c r="R68" i="75"/>
  <c r="R44" i="75"/>
  <c r="R37" i="75"/>
  <c r="R32" i="75"/>
  <c r="P24" i="75"/>
  <c r="R84" i="75"/>
  <c r="R71" i="75"/>
  <c r="R67" i="75"/>
  <c r="R64" i="75"/>
  <c r="R59" i="75"/>
  <c r="R56" i="75"/>
  <c r="R51" i="75"/>
  <c r="R48" i="75"/>
  <c r="R43" i="75"/>
  <c r="R31" i="75"/>
  <c r="R78" i="75"/>
  <c r="R74" i="75"/>
  <c r="R70" i="75"/>
  <c r="R42" i="75"/>
  <c r="R30" i="75"/>
  <c r="R22" i="75"/>
  <c r="R77" i="75"/>
  <c r="R73" i="75"/>
  <c r="R66" i="75"/>
  <c r="R61" i="75"/>
  <c r="R58" i="75"/>
  <c r="R53" i="75"/>
  <c r="R50" i="75"/>
  <c r="R41" i="75"/>
  <c r="R29" i="75"/>
  <c r="R26" i="75"/>
  <c r="R21" i="75"/>
  <c r="R27" i="75"/>
  <c r="R34" i="75"/>
  <c r="R60" i="75"/>
  <c r="R69" i="75"/>
  <c r="Z79" i="75"/>
  <c r="Z25" i="77"/>
  <c r="X25" i="77"/>
  <c r="P30" i="78"/>
  <c r="J19" i="71"/>
  <c r="J27" i="71"/>
  <c r="F28" i="71"/>
  <c r="J39" i="71"/>
  <c r="F40" i="71"/>
  <c r="F44" i="71"/>
  <c r="F47" i="71"/>
  <c r="J49" i="71"/>
  <c r="F52" i="71"/>
  <c r="J55" i="71"/>
  <c r="F59" i="71"/>
  <c r="J63" i="71"/>
  <c r="F71" i="71"/>
  <c r="F78" i="71"/>
  <c r="J27" i="73"/>
  <c r="J17" i="73"/>
  <c r="J21" i="73"/>
  <c r="J19" i="73"/>
  <c r="R21" i="73"/>
  <c r="N23" i="74"/>
  <c r="F26" i="74"/>
  <c r="F32" i="74"/>
  <c r="F42" i="74"/>
  <c r="J47" i="74"/>
  <c r="V58" i="74"/>
  <c r="F63" i="74"/>
  <c r="Z66" i="74"/>
  <c r="J79" i="74"/>
  <c r="F80" i="74"/>
  <c r="V84" i="75"/>
  <c r="V68" i="75"/>
  <c r="V64" i="75"/>
  <c r="V56" i="75"/>
  <c r="V48" i="75"/>
  <c r="V44" i="75"/>
  <c r="V32" i="75"/>
  <c r="V71" i="75"/>
  <c r="V67" i="75"/>
  <c r="V59" i="75"/>
  <c r="V51" i="75"/>
  <c r="V43" i="75"/>
  <c r="V31" i="75"/>
  <c r="V78" i="75"/>
  <c r="V74" i="75"/>
  <c r="V70" i="75"/>
  <c r="V66" i="75"/>
  <c r="V58" i="75"/>
  <c r="V50" i="75"/>
  <c r="V42" i="75"/>
  <c r="V30" i="75"/>
  <c r="V26" i="75"/>
  <c r="V22" i="75"/>
  <c r="V87" i="75"/>
  <c r="V77" i="75"/>
  <c r="V73" i="75"/>
  <c r="V69" i="75"/>
  <c r="V61" i="75"/>
  <c r="V53" i="75"/>
  <c r="V41" i="75"/>
  <c r="V29" i="75"/>
  <c r="V21" i="75"/>
  <c r="V80" i="75"/>
  <c r="V76" i="75"/>
  <c r="V72" i="75"/>
  <c r="V60" i="75"/>
  <c r="V52" i="75"/>
  <c r="V40" i="75"/>
  <c r="V36" i="75"/>
  <c r="V28" i="75"/>
  <c r="V20" i="75"/>
  <c r="T24" i="75"/>
  <c r="Z26" i="75"/>
  <c r="Z27" i="75"/>
  <c r="V34" i="75"/>
  <c r="L37" i="75"/>
  <c r="R47" i="75"/>
  <c r="J56" i="75"/>
  <c r="Z60" i="75"/>
  <c r="L62" i="75"/>
  <c r="N64" i="75"/>
  <c r="N72" i="75"/>
  <c r="V79" i="75"/>
  <c r="N84" i="75"/>
  <c r="F32" i="76"/>
  <c r="F26" i="76"/>
  <c r="F18" i="76"/>
  <c r="F24" i="76"/>
  <c r="D22" i="76"/>
  <c r="F20" i="76"/>
  <c r="F25" i="76"/>
  <c r="L12" i="76"/>
  <c r="N12" i="76" s="1"/>
  <c r="F19" i="76"/>
  <c r="F28" i="76"/>
  <c r="F17" i="76"/>
  <c r="F16" i="71"/>
  <c r="J22" i="71"/>
  <c r="J28" i="71"/>
  <c r="F29" i="71"/>
  <c r="F33" i="71"/>
  <c r="J40" i="71"/>
  <c r="F41" i="71"/>
  <c r="J44" i="71"/>
  <c r="J52" i="71"/>
  <c r="F53" i="71"/>
  <c r="F56" i="71"/>
  <c r="F64" i="71"/>
  <c r="J66" i="71"/>
  <c r="R18" i="72"/>
  <c r="R14" i="72"/>
  <c r="R26" i="72"/>
  <c r="R20" i="72"/>
  <c r="X12" i="72"/>
  <c r="R19" i="72"/>
  <c r="P16" i="72"/>
  <c r="J21" i="74"/>
  <c r="J23" i="74"/>
  <c r="N24" i="74"/>
  <c r="J25" i="74"/>
  <c r="F30" i="74"/>
  <c r="F31" i="74"/>
  <c r="Z34" i="74"/>
  <c r="J41" i="74"/>
  <c r="J42" i="74"/>
  <c r="J49" i="74"/>
  <c r="F50" i="74"/>
  <c r="J51" i="74"/>
  <c r="F52" i="74"/>
  <c r="X58" i="74"/>
  <c r="Z58" i="74" s="1"/>
  <c r="J63" i="74"/>
  <c r="F68" i="74"/>
  <c r="X12" i="75"/>
  <c r="Z12" i="75" s="1"/>
  <c r="V24" i="75"/>
  <c r="V27" i="75"/>
  <c r="R46" i="75"/>
  <c r="V47" i="75"/>
  <c r="V49" i="75"/>
  <c r="N54" i="75"/>
  <c r="R55" i="75"/>
  <c r="L56" i="75"/>
  <c r="J64" i="75"/>
  <c r="X72" i="75"/>
  <c r="N81" i="75"/>
  <c r="J84" i="75"/>
  <c r="F22" i="76"/>
  <c r="V21" i="82"/>
  <c r="T16" i="82"/>
  <c r="V30" i="82"/>
  <c r="V24" i="82"/>
  <c r="V18" i="82"/>
  <c r="V14" i="82"/>
  <c r="V33" i="82"/>
  <c r="V28" i="82"/>
  <c r="V16" i="82"/>
  <c r="V20" i="82"/>
  <c r="V22" i="82"/>
  <c r="V26" i="82"/>
  <c r="X12" i="82"/>
  <c r="V19" i="82"/>
  <c r="F21" i="71"/>
  <c r="J29" i="71"/>
  <c r="F30" i="71"/>
  <c r="J33" i="71"/>
  <c r="F34" i="71"/>
  <c r="J41" i="71"/>
  <c r="F42" i="71"/>
  <c r="F45" i="71"/>
  <c r="J47" i="71"/>
  <c r="F50" i="71"/>
  <c r="J53" i="71"/>
  <c r="J59" i="71"/>
  <c r="J71" i="71"/>
  <c r="V31" i="72"/>
  <c r="V26" i="72"/>
  <c r="V24" i="72"/>
  <c r="V20" i="72"/>
  <c r="Z12" i="72"/>
  <c r="V19" i="72"/>
  <c r="V23" i="73"/>
  <c r="T19" i="73"/>
  <c r="V19" i="73" s="1"/>
  <c r="V27" i="73"/>
  <c r="V21" i="73"/>
  <c r="V17" i="73"/>
  <c r="N37" i="75"/>
  <c r="R40" i="75"/>
  <c r="R63" i="75"/>
  <c r="V65" i="75"/>
  <c r="R72" i="75"/>
  <c r="R76" i="75"/>
  <c r="R83" i="75"/>
  <c r="V85" i="75"/>
  <c r="R87" i="75"/>
  <c r="H30" i="76"/>
  <c r="J16" i="71"/>
  <c r="F23" i="71"/>
  <c r="J30" i="71"/>
  <c r="F31" i="71"/>
  <c r="J34" i="71"/>
  <c r="F35" i="71"/>
  <c r="J42" i="71"/>
  <c r="J50" i="71"/>
  <c r="F54" i="71"/>
  <c r="J56" i="71"/>
  <c r="J64" i="71"/>
  <c r="F67" i="71"/>
  <c r="F73" i="71"/>
  <c r="V14" i="72"/>
  <c r="T16" i="72"/>
  <c r="X12" i="73"/>
  <c r="Z12" i="73" s="1"/>
  <c r="X19" i="73"/>
  <c r="F76" i="74"/>
  <c r="F60" i="74"/>
  <c r="F57" i="74"/>
  <c r="F41" i="74"/>
  <c r="F29" i="74"/>
  <c r="F24" i="74"/>
  <c r="F16" i="74"/>
  <c r="F79" i="74"/>
  <c r="F51" i="74"/>
  <c r="F48" i="74"/>
  <c r="F40" i="74"/>
  <c r="F28" i="74"/>
  <c r="F21" i="74"/>
  <c r="F75" i="74"/>
  <c r="F70" i="74"/>
  <c r="F66" i="74"/>
  <c r="F62" i="74"/>
  <c r="F59" i="74"/>
  <c r="F54" i="74"/>
  <c r="F39" i="74"/>
  <c r="F34" i="74"/>
  <c r="F27" i="74"/>
  <c r="D21" i="74"/>
  <c r="F19" i="74"/>
  <c r="F78" i="74"/>
  <c r="F74" i="74"/>
  <c r="F82" i="74"/>
  <c r="F77" i="74"/>
  <c r="F73" i="74"/>
  <c r="F69" i="74"/>
  <c r="F65" i="74"/>
  <c r="F61" i="74"/>
  <c r="F56" i="74"/>
  <c r="F53" i="74"/>
  <c r="F37" i="74"/>
  <c r="F33" i="74"/>
  <c r="F25" i="74"/>
  <c r="F17" i="74"/>
  <c r="N16" i="74"/>
  <c r="F18" i="74"/>
  <c r="F35" i="74"/>
  <c r="Z54" i="74"/>
  <c r="J57" i="74"/>
  <c r="F58" i="74"/>
  <c r="N60" i="74"/>
  <c r="J67" i="74"/>
  <c r="F72" i="74"/>
  <c r="J37" i="75"/>
  <c r="R39" i="75"/>
  <c r="V45" i="75"/>
  <c r="Z54" i="75"/>
  <c r="Z58" i="75"/>
  <c r="V63" i="75"/>
  <c r="Z66" i="75"/>
  <c r="Z72" i="75"/>
  <c r="X75" i="75"/>
  <c r="Z75" i="75" s="1"/>
  <c r="R82" i="75"/>
  <c r="V83" i="75"/>
  <c r="P77" i="79"/>
  <c r="N19" i="79"/>
  <c r="X63" i="79"/>
  <c r="L71" i="69"/>
  <c r="N71" i="69" s="1"/>
  <c r="L12" i="71"/>
  <c r="L16" i="71"/>
  <c r="N16" i="71" s="1"/>
  <c r="J21" i="71"/>
  <c r="J23" i="71"/>
  <c r="F24" i="71"/>
  <c r="J31" i="71"/>
  <c r="J35" i="71"/>
  <c r="F36" i="71"/>
  <c r="F43" i="71"/>
  <c r="J45" i="71"/>
  <c r="F48" i="71"/>
  <c r="F51" i="71"/>
  <c r="X54" i="71"/>
  <c r="L56" i="71"/>
  <c r="N56" i="71" s="1"/>
  <c r="F60" i="71"/>
  <c r="L64" i="71"/>
  <c r="J67" i="71"/>
  <c r="F69" i="71"/>
  <c r="J73" i="71"/>
  <c r="F75" i="71"/>
  <c r="X14" i="72"/>
  <c r="V16" i="72"/>
  <c r="H25" i="73"/>
  <c r="J25" i="73" s="1"/>
  <c r="J70" i="74"/>
  <c r="J66" i="74"/>
  <c r="J62" i="74"/>
  <c r="J54" i="74"/>
  <c r="J48" i="74"/>
  <c r="J40" i="74"/>
  <c r="J34" i="74"/>
  <c r="J28" i="74"/>
  <c r="H21" i="74"/>
  <c r="J75" i="74"/>
  <c r="J59" i="74"/>
  <c r="J45" i="74"/>
  <c r="J39" i="74"/>
  <c r="J27" i="74"/>
  <c r="J19" i="74"/>
  <c r="J82" i="74"/>
  <c r="J78" i="74"/>
  <c r="J74" i="74"/>
  <c r="J56" i="74"/>
  <c r="J50" i="74"/>
  <c r="J38" i="74"/>
  <c r="J26" i="74"/>
  <c r="J18" i="74"/>
  <c r="J77" i="74"/>
  <c r="J73" i="74"/>
  <c r="J69" i="74"/>
  <c r="J65" i="74"/>
  <c r="J61" i="74"/>
  <c r="J86" i="74"/>
  <c r="J80" i="74"/>
  <c r="J72" i="74"/>
  <c r="J68" i="74"/>
  <c r="J64" i="74"/>
  <c r="J58" i="74"/>
  <c r="J52" i="74"/>
  <c r="J44" i="74"/>
  <c r="J36" i="74"/>
  <c r="J32" i="74"/>
  <c r="J16" i="74"/>
  <c r="J17" i="74"/>
  <c r="J35" i="74"/>
  <c r="F45" i="74"/>
  <c r="N58" i="74"/>
  <c r="J60" i="74"/>
  <c r="F71" i="74"/>
  <c r="J76" i="74"/>
  <c r="N18" i="75"/>
  <c r="R36" i="75"/>
  <c r="R38" i="75"/>
  <c r="V39" i="75"/>
  <c r="N52" i="75"/>
  <c r="V54" i="75"/>
  <c r="Z62" i="75"/>
  <c r="R75" i="75"/>
  <c r="R80" i="75"/>
  <c r="V82" i="75"/>
  <c r="X13" i="76"/>
  <c r="Z13" i="76" s="1"/>
  <c r="X25" i="76"/>
  <c r="P12" i="77"/>
  <c r="X15" i="77"/>
  <c r="Z15" i="77" s="1"/>
  <c r="Z65" i="77"/>
  <c r="L83" i="77"/>
  <c r="X19" i="78"/>
  <c r="N21" i="78"/>
  <c r="L21" i="78"/>
  <c r="X18" i="80"/>
  <c r="Z18" i="80" s="1"/>
  <c r="Z81" i="83"/>
  <c r="X81" i="83"/>
  <c r="D74" i="69"/>
  <c r="L74" i="69" s="1"/>
  <c r="N12" i="71"/>
  <c r="F17" i="71"/>
  <c r="D19" i="71"/>
  <c r="J24" i="71"/>
  <c r="F25" i="71"/>
  <c r="F32" i="71"/>
  <c r="J36" i="71"/>
  <c r="F37" i="71"/>
  <c r="J48" i="71"/>
  <c r="J54" i="71"/>
  <c r="F57" i="71"/>
  <c r="F61" i="71"/>
  <c r="F31" i="72"/>
  <c r="F24" i="72"/>
  <c r="F19" i="72"/>
  <c r="V18" i="72"/>
  <c r="X19" i="72"/>
  <c r="V22" i="72"/>
  <c r="R28" i="72"/>
  <c r="X16" i="73"/>
  <c r="Z16" i="73" s="1"/>
  <c r="L21" i="73"/>
  <c r="J23" i="73"/>
  <c r="L12" i="74"/>
  <c r="N12" i="74" s="1"/>
  <c r="L16" i="74"/>
  <c r="J33" i="74"/>
  <c r="F44" i="74"/>
  <c r="F46" i="74"/>
  <c r="F55" i="74"/>
  <c r="L60" i="74"/>
  <c r="J71" i="74"/>
  <c r="L76" i="74"/>
  <c r="N76" i="74" s="1"/>
  <c r="D12" i="75"/>
  <c r="L16" i="75"/>
  <c r="R19" i="75"/>
  <c r="R20" i="75"/>
  <c r="R28" i="75"/>
  <c r="R35" i="75"/>
  <c r="V38" i="75"/>
  <c r="X52" i="75"/>
  <c r="Z52" i="75" s="1"/>
  <c r="X54" i="75"/>
  <c r="V62" i="75"/>
  <c r="X79" i="75"/>
  <c r="V81" i="75"/>
  <c r="V91" i="75"/>
  <c r="X17" i="76"/>
  <c r="Z17" i="76" s="1"/>
  <c r="Z25" i="76"/>
  <c r="Z47" i="77"/>
  <c r="V47" i="77"/>
  <c r="L49" i="77"/>
  <c r="V21" i="78"/>
  <c r="T16" i="78"/>
  <c r="V30" i="78"/>
  <c r="V24" i="78"/>
  <c r="V18" i="78"/>
  <c r="V14" i="78"/>
  <c r="V19" i="78"/>
  <c r="X12" i="78"/>
  <c r="V26" i="78"/>
  <c r="V20" i="78"/>
  <c r="V22" i="78"/>
  <c r="V28" i="78"/>
  <c r="V16" i="78"/>
  <c r="X14" i="80"/>
  <c r="H28" i="81"/>
  <c r="N16" i="81"/>
  <c r="V28" i="74"/>
  <c r="V40" i="74"/>
  <c r="V48" i="74"/>
  <c r="V56" i="74"/>
  <c r="V82" i="74"/>
  <c r="J18" i="75"/>
  <c r="J24" i="75"/>
  <c r="J32" i="75"/>
  <c r="J44" i="75"/>
  <c r="J54" i="75"/>
  <c r="J62" i="75"/>
  <c r="J68" i="75"/>
  <c r="J18" i="77"/>
  <c r="F35" i="77"/>
  <c r="F40" i="77"/>
  <c r="J66" i="77"/>
  <c r="X19" i="79"/>
  <c r="Z19" i="79" s="1"/>
  <c r="Z29" i="79"/>
  <c r="Z47" i="79"/>
  <c r="L49" i="79"/>
  <c r="F23" i="80"/>
  <c r="F25" i="80"/>
  <c r="J65" i="75"/>
  <c r="J75" i="75"/>
  <c r="J79" i="75"/>
  <c r="J85" i="75"/>
  <c r="J91" i="75"/>
  <c r="F83" i="77"/>
  <c r="F80" i="77"/>
  <c r="F51" i="77"/>
  <c r="F48" i="77"/>
  <c r="F44" i="77"/>
  <c r="F32" i="77"/>
  <c r="F79" i="77"/>
  <c r="F70" i="77"/>
  <c r="F62" i="77"/>
  <c r="F59" i="77"/>
  <c r="F43" i="77"/>
  <c r="F31" i="77"/>
  <c r="F26" i="77"/>
  <c r="F18" i="77"/>
  <c r="F85" i="77"/>
  <c r="F82" i="77"/>
  <c r="F78" i="77"/>
  <c r="F65" i="77"/>
  <c r="F53" i="77"/>
  <c r="F50" i="77"/>
  <c r="F42" i="77"/>
  <c r="F30" i="77"/>
  <c r="F23" i="77"/>
  <c r="F77" i="77"/>
  <c r="F72" i="77"/>
  <c r="F69" i="77"/>
  <c r="F61" i="77"/>
  <c r="F56" i="77"/>
  <c r="F41" i="77"/>
  <c r="F36" i="77"/>
  <c r="F29" i="77"/>
  <c r="D23" i="77"/>
  <c r="F21" i="77"/>
  <c r="F84" i="77"/>
  <c r="F76" i="77"/>
  <c r="F68" i="77"/>
  <c r="F64" i="77"/>
  <c r="F52" i="77"/>
  <c r="F47" i="77"/>
  <c r="F92" i="77"/>
  <c r="F86" i="77"/>
  <c r="F81" i="77"/>
  <c r="F74" i="77"/>
  <c r="F66" i="77"/>
  <c r="F54" i="77"/>
  <c r="F49" i="77"/>
  <c r="F46" i="77"/>
  <c r="F38" i="77"/>
  <c r="F34" i="77"/>
  <c r="F25" i="77"/>
  <c r="F28" i="77"/>
  <c r="F39" i="77"/>
  <c r="J44" i="77"/>
  <c r="F55" i="77"/>
  <c r="F73" i="77"/>
  <c r="P30" i="80"/>
  <c r="L81" i="84"/>
  <c r="N81" i="84" s="1"/>
  <c r="R19" i="73"/>
  <c r="R23" i="73"/>
  <c r="T21" i="74"/>
  <c r="V30" i="74"/>
  <c r="V34" i="74"/>
  <c r="V42" i="74"/>
  <c r="V46" i="74"/>
  <c r="V54" i="74"/>
  <c r="V62" i="74"/>
  <c r="V66" i="74"/>
  <c r="V70" i="74"/>
  <c r="J34" i="75"/>
  <c r="J38" i="75"/>
  <c r="J46" i="75"/>
  <c r="J52" i="75"/>
  <c r="J60" i="75"/>
  <c r="J72" i="75"/>
  <c r="J82" i="75"/>
  <c r="J17" i="76"/>
  <c r="J19" i="76"/>
  <c r="J26" i="76"/>
  <c r="J28" i="76"/>
  <c r="L13" i="77"/>
  <c r="N13" i="77" s="1"/>
  <c r="J39" i="77"/>
  <c r="N51" i="77"/>
  <c r="F60" i="77"/>
  <c r="J62" i="77"/>
  <c r="N81" i="77"/>
  <c r="F37" i="80"/>
  <c r="F24" i="80"/>
  <c r="F19" i="80"/>
  <c r="F34" i="80"/>
  <c r="F28" i="80"/>
  <c r="F16" i="80"/>
  <c r="F32" i="80"/>
  <c r="F26" i="80"/>
  <c r="F21" i="80"/>
  <c r="D16" i="80"/>
  <c r="F30" i="80"/>
  <c r="F18" i="80"/>
  <c r="F14" i="80"/>
  <c r="V31" i="74"/>
  <c r="V35" i="74"/>
  <c r="V43" i="74"/>
  <c r="V51" i="74"/>
  <c r="V55" i="74"/>
  <c r="V63" i="74"/>
  <c r="V67" i="74"/>
  <c r="V71" i="74"/>
  <c r="V79" i="74"/>
  <c r="J35" i="75"/>
  <c r="J39" i="75"/>
  <c r="J47" i="75"/>
  <c r="J55" i="75"/>
  <c r="J63" i="75"/>
  <c r="J69" i="75"/>
  <c r="J83" i="75"/>
  <c r="J87" i="75"/>
  <c r="J93" i="75"/>
  <c r="J25" i="76"/>
  <c r="J22" i="76"/>
  <c r="J18" i="76"/>
  <c r="L25" i="77"/>
  <c r="F27" i="77"/>
  <c r="J34" i="77"/>
  <c r="J54" i="77"/>
  <c r="F58" i="77"/>
  <c r="F75" i="77"/>
  <c r="Z49" i="79"/>
  <c r="L18" i="80"/>
  <c r="N18" i="80" s="1"/>
  <c r="V24" i="74"/>
  <c r="V32" i="74"/>
  <c r="V36" i="74"/>
  <c r="V44" i="74"/>
  <c r="V52" i="74"/>
  <c r="V60" i="74"/>
  <c r="V64" i="74"/>
  <c r="V68" i="74"/>
  <c r="V72" i="74"/>
  <c r="V76" i="74"/>
  <c r="V80" i="74"/>
  <c r="V86" i="74"/>
  <c r="J28" i="75"/>
  <c r="J36" i="75"/>
  <c r="J40" i="75"/>
  <c r="J50" i="75"/>
  <c r="J58" i="75"/>
  <c r="J66" i="75"/>
  <c r="J76" i="75"/>
  <c r="J32" i="76"/>
  <c r="J85" i="77"/>
  <c r="J79" i="77"/>
  <c r="J65" i="77"/>
  <c r="J59" i="77"/>
  <c r="J53" i="77"/>
  <c r="J43" i="77"/>
  <c r="J31" i="77"/>
  <c r="J82" i="77"/>
  <c r="J78" i="77"/>
  <c r="J72" i="77"/>
  <c r="J56" i="77"/>
  <c r="J50" i="77"/>
  <c r="J42" i="77"/>
  <c r="J36" i="77"/>
  <c r="J30" i="77"/>
  <c r="H23" i="77"/>
  <c r="J77" i="77"/>
  <c r="J69" i="77"/>
  <c r="J61" i="77"/>
  <c r="J47" i="77"/>
  <c r="J41" i="77"/>
  <c r="J29" i="77"/>
  <c r="J21" i="77"/>
  <c r="J88" i="77"/>
  <c r="J84" i="77"/>
  <c r="J76" i="77"/>
  <c r="J68" i="77"/>
  <c r="J64" i="77"/>
  <c r="J58" i="77"/>
  <c r="J52" i="77"/>
  <c r="J40" i="77"/>
  <c r="J28" i="77"/>
  <c r="J20" i="77"/>
  <c r="N12" i="77"/>
  <c r="J81" i="77"/>
  <c r="J75" i="77"/>
  <c r="J71" i="77"/>
  <c r="J67" i="77"/>
  <c r="J63" i="77"/>
  <c r="J55" i="77"/>
  <c r="J49" i="77"/>
  <c r="J83" i="77"/>
  <c r="J73" i="77"/>
  <c r="J57" i="77"/>
  <c r="J51" i="77"/>
  <c r="J45" i="77"/>
  <c r="J37" i="77"/>
  <c r="J33" i="77"/>
  <c r="F20" i="77"/>
  <c r="N25" i="77"/>
  <c r="J27" i="77"/>
  <c r="Z36" i="77"/>
  <c r="X36" i="77"/>
  <c r="J38" i="77"/>
  <c r="J46" i="77"/>
  <c r="X47" i="77"/>
  <c r="J60" i="77"/>
  <c r="J80" i="77"/>
  <c r="Z81" i="77"/>
  <c r="F88" i="77"/>
  <c r="X16" i="79"/>
  <c r="L29" i="79"/>
  <c r="N29" i="79" s="1"/>
  <c r="N51" i="79"/>
  <c r="N67" i="79"/>
  <c r="L71" i="79"/>
  <c r="D70" i="79"/>
  <c r="L70" i="79" s="1"/>
  <c r="F20" i="80"/>
  <c r="T92" i="83"/>
  <c r="V21" i="77"/>
  <c r="V25" i="77"/>
  <c r="V29" i="77"/>
  <c r="V41" i="77"/>
  <c r="V49" i="77"/>
  <c r="V61" i="77"/>
  <c r="V69" i="77"/>
  <c r="V77" i="77"/>
  <c r="V81" i="77"/>
  <c r="H16" i="78"/>
  <c r="X16" i="78"/>
  <c r="F19" i="78"/>
  <c r="R20" i="78"/>
  <c r="J21" i="78"/>
  <c r="D16" i="79"/>
  <c r="R19" i="79"/>
  <c r="J21" i="79"/>
  <c r="F22" i="79"/>
  <c r="R26" i="79"/>
  <c r="F29" i="79"/>
  <c r="R30" i="79"/>
  <c r="J33" i="79"/>
  <c r="F34" i="79"/>
  <c r="R38" i="79"/>
  <c r="F46" i="79"/>
  <c r="R47" i="79"/>
  <c r="F49" i="79"/>
  <c r="R50" i="79"/>
  <c r="J51" i="79"/>
  <c r="F54" i="79"/>
  <c r="F58" i="79"/>
  <c r="F62" i="79"/>
  <c r="R63" i="79"/>
  <c r="F65" i="79"/>
  <c r="R66" i="79"/>
  <c r="J67" i="79"/>
  <c r="F71" i="79"/>
  <c r="R73" i="79"/>
  <c r="J77" i="79"/>
  <c r="R80" i="79"/>
  <c r="J22" i="80"/>
  <c r="V26" i="80"/>
  <c r="V30" i="80"/>
  <c r="V32" i="80"/>
  <c r="R34" i="80"/>
  <c r="Z19" i="81"/>
  <c r="X19" i="82"/>
  <c r="H26" i="82"/>
  <c r="Z51" i="83"/>
  <c r="N53" i="83"/>
  <c r="J89" i="84"/>
  <c r="J77" i="84"/>
  <c r="J73" i="84"/>
  <c r="J67" i="84"/>
  <c r="J51" i="84"/>
  <c r="J45" i="84"/>
  <c r="J41" i="84"/>
  <c r="J29" i="84"/>
  <c r="J23" i="84"/>
  <c r="J84" i="84"/>
  <c r="J80" i="84"/>
  <c r="J72" i="84"/>
  <c r="J64" i="84"/>
  <c r="J56" i="84"/>
  <c r="J40" i="84"/>
  <c r="J28" i="84"/>
  <c r="J20" i="84"/>
  <c r="J71" i="84"/>
  <c r="J63" i="84"/>
  <c r="J59" i="84"/>
  <c r="J53" i="84"/>
  <c r="J47" i="84"/>
  <c r="J39" i="84"/>
  <c r="J33" i="84"/>
  <c r="J27" i="84"/>
  <c r="H20" i="84"/>
  <c r="J82" i="84"/>
  <c r="J76" i="84"/>
  <c r="J70" i="84"/>
  <c r="J66" i="84"/>
  <c r="J62" i="84"/>
  <c r="J58" i="84"/>
  <c r="J50" i="84"/>
  <c r="J44" i="84"/>
  <c r="J38" i="84"/>
  <c r="J26" i="84"/>
  <c r="J18" i="84"/>
  <c r="J79" i="84"/>
  <c r="J69" i="84"/>
  <c r="J61" i="84"/>
  <c r="J55" i="84"/>
  <c r="J49" i="84"/>
  <c r="J37" i="84"/>
  <c r="J25" i="84"/>
  <c r="J17" i="84"/>
  <c r="J85" i="84"/>
  <c r="J68" i="84"/>
  <c r="J52" i="84"/>
  <c r="J46" i="84"/>
  <c r="J36" i="84"/>
  <c r="J32" i="84"/>
  <c r="J24" i="84"/>
  <c r="J22" i="84"/>
  <c r="J81" i="84"/>
  <c r="J75" i="84"/>
  <c r="J65" i="84"/>
  <c r="J57" i="84"/>
  <c r="J43" i="84"/>
  <c r="J35" i="84"/>
  <c r="J31" i="84"/>
  <c r="N22" i="84"/>
  <c r="J34" i="84"/>
  <c r="Z67" i="84"/>
  <c r="L85" i="84"/>
  <c r="D84" i="84"/>
  <c r="L84" i="84" s="1"/>
  <c r="V59" i="77"/>
  <c r="V79" i="77"/>
  <c r="F22" i="78"/>
  <c r="F28" i="78"/>
  <c r="F24" i="79"/>
  <c r="J35" i="79"/>
  <c r="F36" i="79"/>
  <c r="J43" i="79"/>
  <c r="F44" i="79"/>
  <c r="R45" i="79"/>
  <c r="F47" i="79"/>
  <c r="R48" i="79"/>
  <c r="J49" i="79"/>
  <c r="F52" i="79"/>
  <c r="R53" i="79"/>
  <c r="J55" i="79"/>
  <c r="F56" i="79"/>
  <c r="R57" i="79"/>
  <c r="J59" i="79"/>
  <c r="F60" i="79"/>
  <c r="R61" i="79"/>
  <c r="F63" i="79"/>
  <c r="R64" i="79"/>
  <c r="J65" i="79"/>
  <c r="F68" i="79"/>
  <c r="F73" i="79"/>
  <c r="F80" i="79"/>
  <c r="R28" i="80"/>
  <c r="J30" i="80"/>
  <c r="V34" i="80"/>
  <c r="N36" i="83"/>
  <c r="X53" i="83"/>
  <c r="Z53" i="83" s="1"/>
  <c r="Z51" i="84"/>
  <c r="L65" i="84"/>
  <c r="N65" i="84" s="1"/>
  <c r="J78" i="84"/>
  <c r="Z79" i="84"/>
  <c r="X79" i="84"/>
  <c r="F30" i="85"/>
  <c r="T23" i="77"/>
  <c r="V32" i="77"/>
  <c r="V36" i="77"/>
  <c r="V44" i="77"/>
  <c r="V48" i="77"/>
  <c r="V56" i="77"/>
  <c r="V72" i="77"/>
  <c r="V80" i="77"/>
  <c r="F14" i="78"/>
  <c r="F18" i="78"/>
  <c r="J22" i="78"/>
  <c r="F24" i="78"/>
  <c r="J28" i="78"/>
  <c r="F30" i="78"/>
  <c r="R18" i="79"/>
  <c r="R21" i="79"/>
  <c r="J24" i="79"/>
  <c r="F25" i="79"/>
  <c r="R33" i="79"/>
  <c r="J36" i="79"/>
  <c r="F37" i="79"/>
  <c r="F41" i="79"/>
  <c r="R42" i="79"/>
  <c r="J44" i="79"/>
  <c r="J52" i="79"/>
  <c r="J56" i="79"/>
  <c r="J60" i="79"/>
  <c r="J68" i="79"/>
  <c r="F70" i="79"/>
  <c r="H73" i="79"/>
  <c r="T16" i="80"/>
  <c r="R19" i="80"/>
  <c r="V21" i="80"/>
  <c r="R22" i="80"/>
  <c r="J23" i="80"/>
  <c r="P16" i="81"/>
  <c r="X14" i="81"/>
  <c r="L67" i="83"/>
  <c r="N67" i="83" s="1"/>
  <c r="N72" i="83"/>
  <c r="D12" i="84"/>
  <c r="L13" i="84"/>
  <c r="N13" i="84" s="1"/>
  <c r="J42" i="84"/>
  <c r="Z53" i="84"/>
  <c r="Z14" i="86"/>
  <c r="X14" i="86"/>
  <c r="V33" i="77"/>
  <c r="V37" i="77"/>
  <c r="V45" i="77"/>
  <c r="V53" i="77"/>
  <c r="X56" i="77"/>
  <c r="Z56" i="77" s="1"/>
  <c r="V57" i="77"/>
  <c r="L58" i="77"/>
  <c r="V65" i="77"/>
  <c r="X72" i="77"/>
  <c r="Z72" i="77" s="1"/>
  <c r="V73" i="77"/>
  <c r="V85" i="77"/>
  <c r="L88" i="77"/>
  <c r="L12" i="78"/>
  <c r="X14" i="78"/>
  <c r="X18" i="78"/>
  <c r="F20" i="78"/>
  <c r="X24" i="78"/>
  <c r="J19" i="79"/>
  <c r="R22" i="79"/>
  <c r="J25" i="79"/>
  <c r="F26" i="79"/>
  <c r="F30" i="79"/>
  <c r="R34" i="79"/>
  <c r="J37" i="79"/>
  <c r="F38" i="79"/>
  <c r="J41" i="79"/>
  <c r="F45" i="79"/>
  <c r="R46" i="79"/>
  <c r="J47" i="79"/>
  <c r="F50" i="79"/>
  <c r="R51" i="79"/>
  <c r="F53" i="79"/>
  <c r="R54" i="79"/>
  <c r="F57" i="79"/>
  <c r="R58" i="79"/>
  <c r="F61" i="79"/>
  <c r="R62" i="79"/>
  <c r="J63" i="79"/>
  <c r="F66" i="79"/>
  <c r="R67" i="79"/>
  <c r="J73" i="79"/>
  <c r="R77" i="79"/>
  <c r="J80" i="79"/>
  <c r="V16" i="80"/>
  <c r="V22" i="80"/>
  <c r="J26" i="80"/>
  <c r="V28" i="80"/>
  <c r="J32" i="80"/>
  <c r="J37" i="80"/>
  <c r="L21" i="82"/>
  <c r="X14" i="83"/>
  <c r="P12" i="83"/>
  <c r="Z18" i="83"/>
  <c r="Z25" i="83"/>
  <c r="J30" i="84"/>
  <c r="N33" i="84"/>
  <c r="J48" i="84"/>
  <c r="V18" i="77"/>
  <c r="V26" i="77"/>
  <c r="V34" i="77"/>
  <c r="V38" i="77"/>
  <c r="V46" i="77"/>
  <c r="V54" i="77"/>
  <c r="V62" i="77"/>
  <c r="V66" i="77"/>
  <c r="V70" i="77"/>
  <c r="V74" i="77"/>
  <c r="V86" i="77"/>
  <c r="V92" i="77"/>
  <c r="N12" i="78"/>
  <c r="J14" i="78"/>
  <c r="R16" i="78"/>
  <c r="J18" i="78"/>
  <c r="J20" i="78"/>
  <c r="J24" i="78"/>
  <c r="R26" i="78"/>
  <c r="R33" i="78"/>
  <c r="F14" i="79"/>
  <c r="F18" i="79"/>
  <c r="R23" i="79"/>
  <c r="J26" i="79"/>
  <c r="F27" i="79"/>
  <c r="J30" i="79"/>
  <c r="F31" i="79"/>
  <c r="R35" i="79"/>
  <c r="J38" i="79"/>
  <c r="F39" i="79"/>
  <c r="R40" i="79"/>
  <c r="F42" i="79"/>
  <c r="R43" i="79"/>
  <c r="J50" i="79"/>
  <c r="R55" i="79"/>
  <c r="R59" i="79"/>
  <c r="J66" i="79"/>
  <c r="J70" i="79"/>
  <c r="R71" i="79"/>
  <c r="F75" i="79"/>
  <c r="H16" i="80"/>
  <c r="V19" i="80"/>
  <c r="R20" i="80"/>
  <c r="J21" i="80"/>
  <c r="R25" i="80"/>
  <c r="V21" i="81"/>
  <c r="T16" i="81"/>
  <c r="V35" i="81"/>
  <c r="V30" i="81"/>
  <c r="V28" i="81"/>
  <c r="V24" i="81"/>
  <c r="V23" i="81"/>
  <c r="V18" i="81"/>
  <c r="V14" i="81"/>
  <c r="Z26" i="81"/>
  <c r="X26" i="81"/>
  <c r="V32" i="81"/>
  <c r="Z62" i="83"/>
  <c r="N81" i="83"/>
  <c r="J54" i="84"/>
  <c r="V19" i="77"/>
  <c r="V27" i="77"/>
  <c r="V35" i="77"/>
  <c r="V39" i="77"/>
  <c r="V51" i="77"/>
  <c r="V55" i="77"/>
  <c r="V63" i="77"/>
  <c r="V67" i="77"/>
  <c r="V71" i="77"/>
  <c r="V75" i="77"/>
  <c r="D16" i="78"/>
  <c r="R19" i="78"/>
  <c r="R22" i="78"/>
  <c r="L12" i="79"/>
  <c r="X14" i="79"/>
  <c r="F20" i="79"/>
  <c r="R24" i="79"/>
  <c r="J27" i="79"/>
  <c r="F28" i="79"/>
  <c r="R29" i="79"/>
  <c r="J31" i="79"/>
  <c r="F32" i="79"/>
  <c r="R36" i="79"/>
  <c r="J39" i="79"/>
  <c r="R44" i="79"/>
  <c r="J45" i="79"/>
  <c r="F48" i="79"/>
  <c r="R49" i="79"/>
  <c r="F51" i="79"/>
  <c r="R52" i="79"/>
  <c r="J53" i="79"/>
  <c r="R56" i="79"/>
  <c r="J57" i="79"/>
  <c r="R60" i="79"/>
  <c r="J61" i="79"/>
  <c r="F64" i="79"/>
  <c r="R65" i="79"/>
  <c r="F67" i="79"/>
  <c r="Z12" i="80"/>
  <c r="R14" i="80"/>
  <c r="J16" i="80"/>
  <c r="R18" i="80"/>
  <c r="V20" i="80"/>
  <c r="J24" i="80"/>
  <c r="J28" i="80"/>
  <c r="R30" i="80"/>
  <c r="X12" i="81"/>
  <c r="N19" i="81"/>
  <c r="L21" i="81"/>
  <c r="V22" i="81"/>
  <c r="V26" i="81"/>
  <c r="N47" i="83"/>
  <c r="L47" i="83"/>
  <c r="J47" i="83"/>
  <c r="X55" i="84"/>
  <c r="Z55" i="84" s="1"/>
  <c r="V55" i="84"/>
  <c r="N57" i="84"/>
  <c r="L57" i="84"/>
  <c r="J74" i="84"/>
  <c r="F55" i="85"/>
  <c r="F45" i="85"/>
  <c r="F42" i="85"/>
  <c r="F53" i="85"/>
  <c r="F44" i="85"/>
  <c r="F39" i="85"/>
  <c r="F48" i="85"/>
  <c r="F49" i="85"/>
  <c r="F43" i="85"/>
  <c r="F40" i="85"/>
  <c r="F37" i="85"/>
  <c r="F29" i="85"/>
  <c r="F25" i="85"/>
  <c r="F46" i="85"/>
  <c r="F36" i="85"/>
  <c r="F24" i="85"/>
  <c r="F19" i="85"/>
  <c r="F35" i="85"/>
  <c r="F23" i="85"/>
  <c r="F16" i="85"/>
  <c r="F34" i="85"/>
  <c r="F22" i="85"/>
  <c r="D16" i="85"/>
  <c r="F33" i="85"/>
  <c r="F28" i="85"/>
  <c r="F21" i="85"/>
  <c r="F41" i="85"/>
  <c r="F32" i="85"/>
  <c r="F20" i="85"/>
  <c r="L12" i="85"/>
  <c r="F51" i="85"/>
  <c r="F31" i="85"/>
  <c r="F27" i="85"/>
  <c r="F18" i="85"/>
  <c r="F14" i="85"/>
  <c r="Z14" i="85"/>
  <c r="X14" i="85"/>
  <c r="Z18" i="85"/>
  <c r="X18" i="85"/>
  <c r="F58" i="85"/>
  <c r="V23" i="83"/>
  <c r="V33" i="83"/>
  <c r="V37" i="83"/>
  <c r="V45" i="83"/>
  <c r="V53" i="83"/>
  <c r="V57" i="83"/>
  <c r="J61" i="83"/>
  <c r="V65" i="83"/>
  <c r="J67" i="83"/>
  <c r="V69" i="83"/>
  <c r="V73" i="83"/>
  <c r="V77" i="83"/>
  <c r="V81" i="83"/>
  <c r="V85" i="83"/>
  <c r="J90" i="83"/>
  <c r="V71" i="84"/>
  <c r="V79" i="84"/>
  <c r="J53" i="85"/>
  <c r="J39" i="85"/>
  <c r="J48" i="85"/>
  <c r="J44" i="85"/>
  <c r="J58" i="85"/>
  <c r="J51" i="85"/>
  <c r="J41" i="85"/>
  <c r="J46" i="85"/>
  <c r="J55" i="85"/>
  <c r="J45" i="85"/>
  <c r="J26" i="85"/>
  <c r="J30" i="85"/>
  <c r="J38" i="85"/>
  <c r="J42" i="85"/>
  <c r="V18" i="83"/>
  <c r="V26" i="83"/>
  <c r="V34" i="83"/>
  <c r="J36" i="83"/>
  <c r="V38" i="83"/>
  <c r="J42" i="83"/>
  <c r="V46" i="83"/>
  <c r="J50" i="83"/>
  <c r="V54" i="83"/>
  <c r="J56" i="83"/>
  <c r="V62" i="83"/>
  <c r="J64" i="83"/>
  <c r="V66" i="83"/>
  <c r="V70" i="83"/>
  <c r="J72" i="83"/>
  <c r="V78" i="83"/>
  <c r="V82" i="83"/>
  <c r="J84" i="83"/>
  <c r="V92" i="83"/>
  <c r="V94" i="83"/>
  <c r="V72" i="84"/>
  <c r="V76" i="84"/>
  <c r="V80" i="84"/>
  <c r="J27" i="85"/>
  <c r="J31" i="85"/>
  <c r="J40" i="85"/>
  <c r="J43" i="85"/>
  <c r="P51" i="85"/>
  <c r="L13" i="87"/>
  <c r="D12" i="87"/>
  <c r="N20" i="87"/>
  <c r="J19" i="81"/>
  <c r="F22" i="81"/>
  <c r="R23" i="81"/>
  <c r="J19" i="82"/>
  <c r="F22" i="82"/>
  <c r="F28" i="82"/>
  <c r="V19" i="83"/>
  <c r="J23" i="83"/>
  <c r="V27" i="83"/>
  <c r="J31" i="83"/>
  <c r="V35" i="83"/>
  <c r="V39" i="83"/>
  <c r="J43" i="83"/>
  <c r="V51" i="83"/>
  <c r="J53" i="83"/>
  <c r="V55" i="83"/>
  <c r="J59" i="83"/>
  <c r="V63" i="83"/>
  <c r="V71" i="83"/>
  <c r="J75" i="83"/>
  <c r="V79" i="83"/>
  <c r="J81" i="83"/>
  <c r="V83" i="83"/>
  <c r="J87" i="83"/>
  <c r="V89" i="83"/>
  <c r="H92" i="83"/>
  <c r="P12" i="84"/>
  <c r="T20" i="84"/>
  <c r="V20" i="84" s="1"/>
  <c r="V29" i="84"/>
  <c r="V33" i="84"/>
  <c r="V41" i="84"/>
  <c r="X44" i="84"/>
  <c r="V45" i="84"/>
  <c r="L46" i="84"/>
  <c r="N46" i="84" s="1"/>
  <c r="V53" i="84"/>
  <c r="V73" i="84"/>
  <c r="X76" i="84"/>
  <c r="Z76" i="84" s="1"/>
  <c r="V77" i="84"/>
  <c r="V89" i="84"/>
  <c r="N12" i="85"/>
  <c r="J14" i="85"/>
  <c r="J18" i="85"/>
  <c r="J20" i="85"/>
  <c r="V24" i="85"/>
  <c r="V28" i="85"/>
  <c r="R29" i="85"/>
  <c r="J32" i="85"/>
  <c r="V36" i="85"/>
  <c r="V58" i="85"/>
  <c r="X18" i="86"/>
  <c r="Z18" i="86" s="1"/>
  <c r="Z19" i="88"/>
  <c r="F14" i="81"/>
  <c r="F18" i="81"/>
  <c r="J22" i="81"/>
  <c r="J26" i="81"/>
  <c r="R28" i="81"/>
  <c r="J32" i="81"/>
  <c r="R35" i="81"/>
  <c r="J22" i="82"/>
  <c r="F24" i="82"/>
  <c r="J28" i="82"/>
  <c r="F30" i="82"/>
  <c r="J18" i="83"/>
  <c r="V20" i="83"/>
  <c r="J26" i="83"/>
  <c r="V28" i="83"/>
  <c r="J32" i="83"/>
  <c r="V40" i="83"/>
  <c r="J44" i="83"/>
  <c r="J48" i="83"/>
  <c r="V52" i="83"/>
  <c r="V60" i="83"/>
  <c r="J62" i="83"/>
  <c r="J68" i="83"/>
  <c r="J76" i="83"/>
  <c r="V80" i="83"/>
  <c r="J92" i="83"/>
  <c r="V30" i="84"/>
  <c r="V34" i="84"/>
  <c r="V42" i="84"/>
  <c r="V54" i="84"/>
  <c r="V74" i="84"/>
  <c r="V78" i="84"/>
  <c r="V84" i="84"/>
  <c r="R46" i="85"/>
  <c r="R43" i="85"/>
  <c r="R49" i="85"/>
  <c r="R55" i="85"/>
  <c r="R45" i="85"/>
  <c r="R40" i="85"/>
  <c r="R58" i="85"/>
  <c r="R51" i="85"/>
  <c r="R44" i="85"/>
  <c r="R41" i="85"/>
  <c r="T16" i="85"/>
  <c r="R19" i="85"/>
  <c r="J21" i="85"/>
  <c r="V25" i="85"/>
  <c r="R26" i="85"/>
  <c r="V29" i="85"/>
  <c r="R30" i="85"/>
  <c r="J33" i="85"/>
  <c r="V37" i="85"/>
  <c r="R38" i="85"/>
  <c r="R42" i="85"/>
  <c r="D48" i="85"/>
  <c r="L48" i="85" s="1"/>
  <c r="N48" i="85" s="1"/>
  <c r="J49" i="85"/>
  <c r="L14" i="86"/>
  <c r="X16" i="86"/>
  <c r="P26" i="86"/>
  <c r="Z24" i="86"/>
  <c r="J28" i="87"/>
  <c r="J16" i="87"/>
  <c r="J25" i="87"/>
  <c r="J40" i="87"/>
  <c r="J34" i="87"/>
  <c r="J30" i="87"/>
  <c r="J22" i="87"/>
  <c r="J20" i="87"/>
  <c r="N12" i="87"/>
  <c r="J27" i="87"/>
  <c r="J15" i="87"/>
  <c r="J29" i="87"/>
  <c r="J21" i="87"/>
  <c r="J43" i="87"/>
  <c r="J36" i="87"/>
  <c r="J26" i="87"/>
  <c r="J18" i="87"/>
  <c r="J31" i="87"/>
  <c r="J23" i="87"/>
  <c r="H18" i="87"/>
  <c r="Z20" i="87"/>
  <c r="H63" i="88"/>
  <c r="N59" i="88"/>
  <c r="L12" i="81"/>
  <c r="F20" i="81"/>
  <c r="R21" i="81"/>
  <c r="F23" i="81"/>
  <c r="R24" i="81"/>
  <c r="R30" i="81"/>
  <c r="L12" i="82"/>
  <c r="P16" i="82"/>
  <c r="F20" i="82"/>
  <c r="R21" i="82"/>
  <c r="D12" i="83"/>
  <c r="V21" i="83"/>
  <c r="V25" i="83"/>
  <c r="V29" i="83"/>
  <c r="J33" i="83"/>
  <c r="J37" i="83"/>
  <c r="V41" i="83"/>
  <c r="J45" i="83"/>
  <c r="V49" i="83"/>
  <c r="J51" i="83"/>
  <c r="J57" i="83"/>
  <c r="V61" i="83"/>
  <c r="J65" i="83"/>
  <c r="J69" i="83"/>
  <c r="J73" i="83"/>
  <c r="J77" i="83"/>
  <c r="J85" i="83"/>
  <c r="J89" i="83"/>
  <c r="V23" i="84"/>
  <c r="V31" i="84"/>
  <c r="V35" i="84"/>
  <c r="V43" i="84"/>
  <c r="V51" i="84"/>
  <c r="V67" i="84"/>
  <c r="V75" i="84"/>
  <c r="V55" i="85"/>
  <c r="V49" i="85"/>
  <c r="V45" i="85"/>
  <c r="V39" i="85"/>
  <c r="V48" i="85"/>
  <c r="V42" i="85"/>
  <c r="V43" i="85"/>
  <c r="V16" i="85"/>
  <c r="J22" i="85"/>
  <c r="V26" i="85"/>
  <c r="R27" i="85"/>
  <c r="J28" i="85"/>
  <c r="V30" i="85"/>
  <c r="R31" i="85"/>
  <c r="J34" i="85"/>
  <c r="V38" i="85"/>
  <c r="V40" i="85"/>
  <c r="X41" i="85"/>
  <c r="Z18" i="88"/>
  <c r="N44" i="88"/>
  <c r="N12" i="81"/>
  <c r="J14" i="81"/>
  <c r="J18" i="81"/>
  <c r="J20" i="81"/>
  <c r="F28" i="81"/>
  <c r="F35" i="81"/>
  <c r="N12" i="82"/>
  <c r="J14" i="82"/>
  <c r="J18" i="82"/>
  <c r="J20" i="82"/>
  <c r="J24" i="82"/>
  <c r="R26" i="82"/>
  <c r="R33" i="82"/>
  <c r="V30" i="83"/>
  <c r="J34" i="83"/>
  <c r="J38" i="83"/>
  <c r="V42" i="83"/>
  <c r="J46" i="83"/>
  <c r="V50" i="83"/>
  <c r="J54" i="83"/>
  <c r="V58" i="83"/>
  <c r="J60" i="83"/>
  <c r="J66" i="83"/>
  <c r="J70" i="83"/>
  <c r="V74" i="83"/>
  <c r="J78" i="83"/>
  <c r="J82" i="83"/>
  <c r="V86" i="83"/>
  <c r="V90" i="83"/>
  <c r="J94" i="83"/>
  <c r="V36" i="84"/>
  <c r="V48" i="84"/>
  <c r="V52" i="84"/>
  <c r="V60" i="84"/>
  <c r="V68" i="84"/>
  <c r="H16" i="85"/>
  <c r="J23" i="85"/>
  <c r="V27" i="85"/>
  <c r="V31" i="85"/>
  <c r="J35" i="85"/>
  <c r="R39" i="85"/>
  <c r="F19" i="86"/>
  <c r="F33" i="86"/>
  <c r="F26" i="86"/>
  <c r="F16" i="86"/>
  <c r="F21" i="86"/>
  <c r="D16" i="86"/>
  <c r="F30" i="86"/>
  <c r="F24" i="86"/>
  <c r="F18" i="86"/>
  <c r="F14" i="86"/>
  <c r="F20" i="86"/>
  <c r="X21" i="86"/>
  <c r="D16" i="81"/>
  <c r="R19" i="81"/>
  <c r="D16" i="82"/>
  <c r="R19" i="82"/>
  <c r="R22" i="82"/>
  <c r="J19" i="83"/>
  <c r="J25" i="83"/>
  <c r="J27" i="83"/>
  <c r="V31" i="83"/>
  <c r="J35" i="83"/>
  <c r="J39" i="83"/>
  <c r="V43" i="83"/>
  <c r="V47" i="83"/>
  <c r="J49" i="83"/>
  <c r="J55" i="83"/>
  <c r="V59" i="83"/>
  <c r="J63" i="83"/>
  <c r="V67" i="83"/>
  <c r="J71" i="83"/>
  <c r="V75" i="83"/>
  <c r="J79" i="83"/>
  <c r="V25" i="84"/>
  <c r="V37" i="84"/>
  <c r="V49" i="84"/>
  <c r="V57" i="84"/>
  <c r="V61" i="84"/>
  <c r="V65" i="84"/>
  <c r="V69" i="84"/>
  <c r="V81" i="84"/>
  <c r="V85" i="84"/>
  <c r="Z12" i="85"/>
  <c r="R14" i="85"/>
  <c r="J16" i="85"/>
  <c r="R18" i="85"/>
  <c r="V20" i="85"/>
  <c r="R21" i="85"/>
  <c r="J24" i="85"/>
  <c r="V32" i="85"/>
  <c r="R33" i="85"/>
  <c r="J36" i="85"/>
  <c r="V41" i="85"/>
  <c r="X48" i="85"/>
  <c r="Z48" i="85" s="1"/>
  <c r="R53" i="85"/>
  <c r="N18" i="86"/>
  <c r="F28" i="86"/>
  <c r="L15" i="87"/>
  <c r="P40" i="87"/>
  <c r="L19" i="88"/>
  <c r="N19" i="88" s="1"/>
  <c r="N29" i="88"/>
  <c r="Z52" i="88"/>
  <c r="R49" i="88"/>
  <c r="R61" i="88"/>
  <c r="R55" i="88"/>
  <c r="R52" i="88"/>
  <c r="R43" i="88"/>
  <c r="R51" i="88"/>
  <c r="R47" i="88"/>
  <c r="R44" i="88"/>
  <c r="D63" i="88"/>
  <c r="L59" i="88"/>
  <c r="R19" i="88"/>
  <c r="R26" i="88"/>
  <c r="F29" i="88"/>
  <c r="R30" i="88"/>
  <c r="F34" i="88"/>
  <c r="R38" i="88"/>
  <c r="F43" i="88"/>
  <c r="R46" i="88"/>
  <c r="R48" i="88"/>
  <c r="J49" i="88"/>
  <c r="F50" i="88"/>
  <c r="J53" i="88"/>
  <c r="J59" i="88"/>
  <c r="V33" i="89"/>
  <c r="V38" i="89"/>
  <c r="V59" i="89"/>
  <c r="V14" i="86"/>
  <c r="V18" i="86"/>
  <c r="J22" i="86"/>
  <c r="V24" i="86"/>
  <c r="J28" i="86"/>
  <c r="V30" i="86"/>
  <c r="R20" i="87"/>
  <c r="V22" i="87"/>
  <c r="V30" i="87"/>
  <c r="R34" i="87"/>
  <c r="R40" i="87"/>
  <c r="V66" i="88"/>
  <c r="V61" i="88"/>
  <c r="V59" i="88"/>
  <c r="V55" i="88"/>
  <c r="V54" i="88"/>
  <c r="V42" i="88"/>
  <c r="V50" i="88"/>
  <c r="V46" i="88"/>
  <c r="F16" i="88"/>
  <c r="V16" i="88"/>
  <c r="J22" i="88"/>
  <c r="F23" i="88"/>
  <c r="V26" i="88"/>
  <c r="R27" i="88"/>
  <c r="V30" i="88"/>
  <c r="R31" i="88"/>
  <c r="J34" i="88"/>
  <c r="F35" i="88"/>
  <c r="V38" i="88"/>
  <c r="R39" i="88"/>
  <c r="J40" i="88"/>
  <c r="J43" i="88"/>
  <c r="F44" i="88"/>
  <c r="V48" i="88"/>
  <c r="V51" i="88"/>
  <c r="J55" i="88"/>
  <c r="J57" i="88"/>
  <c r="J66" i="88"/>
  <c r="R82" i="89"/>
  <c r="R75" i="89"/>
  <c r="R91" i="89"/>
  <c r="R85" i="89"/>
  <c r="R81" i="89"/>
  <c r="R84" i="89"/>
  <c r="R79" i="89"/>
  <c r="R69" i="89"/>
  <c r="R65" i="89"/>
  <c r="R62" i="89"/>
  <c r="R57" i="89"/>
  <c r="R54" i="89"/>
  <c r="R68" i="89"/>
  <c r="R80" i="89"/>
  <c r="R74" i="89"/>
  <c r="R73" i="89"/>
  <c r="R72" i="89"/>
  <c r="R67" i="89"/>
  <c r="R64" i="89"/>
  <c r="R59" i="89"/>
  <c r="R56" i="89"/>
  <c r="R51" i="89"/>
  <c r="R70" i="89"/>
  <c r="R49" i="89"/>
  <c r="R45" i="89"/>
  <c r="R33" i="89"/>
  <c r="R26" i="89"/>
  <c r="R18" i="89"/>
  <c r="R87" i="89"/>
  <c r="R76" i="89"/>
  <c r="R44" i="89"/>
  <c r="R37" i="89"/>
  <c r="R32" i="89"/>
  <c r="R71" i="89"/>
  <c r="R63" i="89"/>
  <c r="R55" i="89"/>
  <c r="R48" i="89"/>
  <c r="R43" i="89"/>
  <c r="R31" i="89"/>
  <c r="P23" i="89"/>
  <c r="R23" i="89" s="1"/>
  <c r="R77" i="89"/>
  <c r="R42" i="89"/>
  <c r="R30" i="89"/>
  <c r="R41" i="89"/>
  <c r="R29" i="89"/>
  <c r="R78" i="89"/>
  <c r="R61" i="89"/>
  <c r="R60" i="89"/>
  <c r="R53" i="89"/>
  <c r="R52" i="89"/>
  <c r="R40" i="89"/>
  <c r="R36" i="89"/>
  <c r="R28" i="89"/>
  <c r="R25" i="89"/>
  <c r="R20" i="89"/>
  <c r="X12" i="89"/>
  <c r="Z12" i="89" s="1"/>
  <c r="Z37" i="89"/>
  <c r="R47" i="89"/>
  <c r="V51" i="89"/>
  <c r="N62" i="89"/>
  <c r="L62" i="89"/>
  <c r="R66" i="89"/>
  <c r="V75" i="89"/>
  <c r="X12" i="88"/>
  <c r="R20" i="88"/>
  <c r="F24" i="88"/>
  <c r="R28" i="88"/>
  <c r="R32" i="88"/>
  <c r="F36" i="88"/>
  <c r="F45" i="88"/>
  <c r="J54" i="88"/>
  <c r="R59" i="88"/>
  <c r="V91" i="89"/>
  <c r="V85" i="89"/>
  <c r="V81" i="89"/>
  <c r="V84" i="89"/>
  <c r="V80" i="89"/>
  <c r="V78" i="89"/>
  <c r="V79" i="89"/>
  <c r="V68" i="89"/>
  <c r="V64" i="89"/>
  <c r="V56" i="89"/>
  <c r="V74" i="89"/>
  <c r="V73" i="89"/>
  <c r="V72" i="89"/>
  <c r="V67" i="89"/>
  <c r="V71" i="89"/>
  <c r="V70" i="89"/>
  <c r="V66" i="89"/>
  <c r="V58" i="89"/>
  <c r="V50" i="89"/>
  <c r="V76" i="89"/>
  <c r="V48" i="89"/>
  <c r="V44" i="89"/>
  <c r="V32" i="89"/>
  <c r="T23" i="89"/>
  <c r="V69" i="89"/>
  <c r="V63" i="89"/>
  <c r="V62" i="89"/>
  <c r="V55" i="89"/>
  <c r="V54" i="89"/>
  <c r="V43" i="89"/>
  <c r="V31" i="89"/>
  <c r="V77" i="89"/>
  <c r="V42" i="89"/>
  <c r="V30" i="89"/>
  <c r="V60" i="89"/>
  <c r="V52" i="89"/>
  <c r="V41" i="89"/>
  <c r="V29" i="89"/>
  <c r="V25" i="89"/>
  <c r="V21" i="89"/>
  <c r="V82" i="89"/>
  <c r="V61" i="89"/>
  <c r="V53" i="89"/>
  <c r="V40" i="89"/>
  <c r="V36" i="89"/>
  <c r="V28" i="89"/>
  <c r="V47" i="89"/>
  <c r="V39" i="89"/>
  <c r="V35" i="89"/>
  <c r="V27" i="89"/>
  <c r="V19" i="89"/>
  <c r="V18" i="89"/>
  <c r="V37" i="89"/>
  <c r="N54" i="89"/>
  <c r="L54" i="89"/>
  <c r="T16" i="86"/>
  <c r="R19" i="86"/>
  <c r="V21" i="86"/>
  <c r="R22" i="86"/>
  <c r="R28" i="86"/>
  <c r="R23" i="87"/>
  <c r="V25" i="87"/>
  <c r="R26" i="87"/>
  <c r="R31" i="87"/>
  <c r="F66" i="88"/>
  <c r="F59" i="88"/>
  <c r="F54" i="88"/>
  <c r="F51" i="88"/>
  <c r="F47" i="88"/>
  <c r="F61" i="88"/>
  <c r="F55" i="88"/>
  <c r="F46" i="88"/>
  <c r="L16" i="88"/>
  <c r="J19" i="88"/>
  <c r="V21" i="88"/>
  <c r="R22" i="88"/>
  <c r="J25" i="88"/>
  <c r="F26" i="88"/>
  <c r="F30" i="88"/>
  <c r="V33" i="88"/>
  <c r="R34" i="88"/>
  <c r="J37" i="88"/>
  <c r="F38" i="88"/>
  <c r="V43" i="88"/>
  <c r="N46" i="88"/>
  <c r="F48" i="88"/>
  <c r="V52" i="88"/>
  <c r="V53" i="88"/>
  <c r="X54" i="88"/>
  <c r="V20" i="89"/>
  <c r="R50" i="89"/>
  <c r="V57" i="89"/>
  <c r="N64" i="89"/>
  <c r="V16" i="86"/>
  <c r="V22" i="86"/>
  <c r="V26" i="86"/>
  <c r="V28" i="86"/>
  <c r="V33" i="86"/>
  <c r="R18" i="87"/>
  <c r="V26" i="87"/>
  <c r="R36" i="87"/>
  <c r="J51" i="88"/>
  <c r="J50" i="88"/>
  <c r="J44" i="88"/>
  <c r="J52" i="88"/>
  <c r="F14" i="88"/>
  <c r="V14" i="88"/>
  <c r="N16" i="88"/>
  <c r="F18" i="88"/>
  <c r="V18" i="88"/>
  <c r="V22" i="88"/>
  <c r="R23" i="88"/>
  <c r="J26" i="88"/>
  <c r="F27" i="88"/>
  <c r="J30" i="88"/>
  <c r="F31" i="88"/>
  <c r="V34" i="88"/>
  <c r="R35" i="88"/>
  <c r="J38" i="88"/>
  <c r="F39" i="88"/>
  <c r="R40" i="88"/>
  <c r="F42" i="88"/>
  <c r="J46" i="88"/>
  <c r="J47" i="88"/>
  <c r="J48" i="88"/>
  <c r="V49" i="88"/>
  <c r="R54" i="88"/>
  <c r="V57" i="88"/>
  <c r="J61" i="88"/>
  <c r="R63" i="88"/>
  <c r="X26" i="89"/>
  <c r="Z26" i="89" s="1"/>
  <c r="R35" i="89"/>
  <c r="V45" i="89"/>
  <c r="R83" i="89"/>
  <c r="X12" i="86"/>
  <c r="H16" i="86"/>
  <c r="V19" i="86"/>
  <c r="R20" i="86"/>
  <c r="J21" i="86"/>
  <c r="T18" i="87"/>
  <c r="R21" i="87"/>
  <c r="V23" i="87"/>
  <c r="R24" i="87"/>
  <c r="R29" i="87"/>
  <c r="V31" i="87"/>
  <c r="R32" i="87"/>
  <c r="L12" i="88"/>
  <c r="P16" i="88"/>
  <c r="F20" i="88"/>
  <c r="V23" i="88"/>
  <c r="R24" i="88"/>
  <c r="J27" i="88"/>
  <c r="F28" i="88"/>
  <c r="R29" i="88"/>
  <c r="J31" i="88"/>
  <c r="F32" i="88"/>
  <c r="V35" i="88"/>
  <c r="R36" i="88"/>
  <c r="J39" i="88"/>
  <c r="Z44" i="88"/>
  <c r="R45" i="88"/>
  <c r="F49" i="88"/>
  <c r="F52" i="88"/>
  <c r="L57" i="88"/>
  <c r="V63" i="88"/>
  <c r="V26" i="89"/>
  <c r="R34" i="89"/>
  <c r="R39" i="89"/>
  <c r="L48" i="89"/>
  <c r="N48" i="89" s="1"/>
  <c r="V49" i="89"/>
  <c r="V83" i="89"/>
  <c r="L13" i="90"/>
  <c r="D12" i="90"/>
  <c r="Z12" i="86"/>
  <c r="R14" i="86"/>
  <c r="J16" i="86"/>
  <c r="R18" i="86"/>
  <c r="R24" i="86"/>
  <c r="J26" i="86"/>
  <c r="V18" i="87"/>
  <c r="V24" i="87"/>
  <c r="V32" i="87"/>
  <c r="V36" i="87"/>
  <c r="V38" i="87"/>
  <c r="N12" i="88"/>
  <c r="J14" i="88"/>
  <c r="R16" i="88"/>
  <c r="J18" i="88"/>
  <c r="J20" i="88"/>
  <c r="F21" i="88"/>
  <c r="V24" i="88"/>
  <c r="R25" i="88"/>
  <c r="J28" i="88"/>
  <c r="J32" i="88"/>
  <c r="F33" i="88"/>
  <c r="V36" i="88"/>
  <c r="R37" i="88"/>
  <c r="F40" i="88"/>
  <c r="V40" i="88"/>
  <c r="R41" i="88"/>
  <c r="J42" i="88"/>
  <c r="V44" i="88"/>
  <c r="V45" i="88"/>
  <c r="F53" i="88"/>
  <c r="F57" i="88"/>
  <c r="R19" i="89"/>
  <c r="H89" i="89"/>
  <c r="J89" i="89" s="1"/>
  <c r="Z25" i="89"/>
  <c r="V34" i="89"/>
  <c r="L37" i="89"/>
  <c r="N37" i="89" s="1"/>
  <c r="R38" i="89"/>
  <c r="J48" i="89"/>
  <c r="Z56" i="89"/>
  <c r="X64" i="89"/>
  <c r="Z64" i="89" s="1"/>
  <c r="H23" i="90"/>
  <c r="J23" i="89"/>
  <c r="J31" i="89"/>
  <c r="J37" i="89"/>
  <c r="J43" i="89"/>
  <c r="Z50" i="89"/>
  <c r="J54" i="89"/>
  <c r="J55" i="89"/>
  <c r="Z58" i="89"/>
  <c r="J62" i="89"/>
  <c r="J63" i="89"/>
  <c r="Z66" i="89"/>
  <c r="J81" i="89"/>
  <c r="X84" i="89"/>
  <c r="J23" i="90"/>
  <c r="J29" i="90"/>
  <c r="N37" i="90"/>
  <c r="V52" i="90"/>
  <c r="J56" i="90"/>
  <c r="J72" i="90"/>
  <c r="N58" i="91"/>
  <c r="J26" i="89"/>
  <c r="J32" i="89"/>
  <c r="J44" i="89"/>
  <c r="Z52" i="89"/>
  <c r="Z60" i="89"/>
  <c r="J69" i="89"/>
  <c r="J71" i="89"/>
  <c r="Z84" i="89"/>
  <c r="X13" i="90"/>
  <c r="P12" i="90"/>
  <c r="Z25" i="90"/>
  <c r="J37" i="90"/>
  <c r="J41" i="90"/>
  <c r="L48" i="90"/>
  <c r="N48" i="90" s="1"/>
  <c r="J64" i="90"/>
  <c r="Z66" i="90"/>
  <c r="J58" i="91"/>
  <c r="F70" i="92"/>
  <c r="F61" i="92"/>
  <c r="F57" i="92"/>
  <c r="F54" i="92"/>
  <c r="F48" i="92"/>
  <c r="F45" i="92"/>
  <c r="F73" i="92"/>
  <c r="F67" i="92"/>
  <c r="F63" i="92"/>
  <c r="F59" i="92"/>
  <c r="F69" i="92"/>
  <c r="F66" i="92"/>
  <c r="F62" i="92"/>
  <c r="F58" i="92"/>
  <c r="F53" i="92"/>
  <c r="F50" i="92"/>
  <c r="F77" i="92"/>
  <c r="F65" i="92"/>
  <c r="F49" i="92"/>
  <c r="F60" i="92"/>
  <c r="F43" i="92"/>
  <c r="F39" i="92"/>
  <c r="F27" i="92"/>
  <c r="F47" i="92"/>
  <c r="F38" i="92"/>
  <c r="F26" i="92"/>
  <c r="F55" i="92"/>
  <c r="F37" i="92"/>
  <c r="F25" i="92"/>
  <c r="F20" i="92"/>
  <c r="F72" i="92"/>
  <c r="F56" i="92"/>
  <c r="F36" i="92"/>
  <c r="F31" i="92"/>
  <c r="F24" i="92"/>
  <c r="F17" i="92"/>
  <c r="F46" i="92"/>
  <c r="F30" i="92"/>
  <c r="F32" i="92"/>
  <c r="F51" i="92"/>
  <c r="F64" i="92"/>
  <c r="F52" i="92"/>
  <c r="F42" i="92"/>
  <c r="F41" i="92"/>
  <c r="F21" i="92"/>
  <c r="L12" i="92"/>
  <c r="N12" i="92" s="1"/>
  <c r="F33" i="92"/>
  <c r="F29" i="92"/>
  <c r="F22" i="92"/>
  <c r="F19" i="92"/>
  <c r="F44" i="92"/>
  <c r="F34" i="92"/>
  <c r="F40" i="92"/>
  <c r="F35" i="92"/>
  <c r="D17" i="92"/>
  <c r="F15" i="92"/>
  <c r="F28" i="92"/>
  <c r="F23" i="92"/>
  <c r="F68" i="92"/>
  <c r="D12" i="89"/>
  <c r="J33" i="89"/>
  <c r="J45" i="89"/>
  <c r="J49" i="89"/>
  <c r="J56" i="89"/>
  <c r="J64" i="89"/>
  <c r="J68" i="89"/>
  <c r="J80" i="89"/>
  <c r="Z69" i="90"/>
  <c r="J77" i="89"/>
  <c r="J73" i="89"/>
  <c r="J76" i="89"/>
  <c r="J82" i="89"/>
  <c r="J83" i="89"/>
  <c r="J70" i="89"/>
  <c r="J66" i="89"/>
  <c r="J58" i="89"/>
  <c r="J50" i="89"/>
  <c r="J91" i="89"/>
  <c r="J78" i="89"/>
  <c r="J75" i="89"/>
  <c r="J60" i="89"/>
  <c r="J52" i="89"/>
  <c r="J34" i="89"/>
  <c r="J38" i="89"/>
  <c r="J46" i="89"/>
  <c r="J57" i="89"/>
  <c r="J65" i="89"/>
  <c r="J67" i="89"/>
  <c r="J74" i="89"/>
  <c r="N75" i="89"/>
  <c r="J85" i="89"/>
  <c r="J75" i="90"/>
  <c r="J71" i="90"/>
  <c r="J84" i="90"/>
  <c r="J87" i="90"/>
  <c r="J83" i="90"/>
  <c r="J79" i="90"/>
  <c r="J69" i="90"/>
  <c r="J82" i="90"/>
  <c r="J81" i="90"/>
  <c r="J80" i="90"/>
  <c r="J70" i="90"/>
  <c r="J66" i="90"/>
  <c r="J58" i="90"/>
  <c r="J50" i="90"/>
  <c r="J40" i="90"/>
  <c r="J36" i="90"/>
  <c r="J28" i="90"/>
  <c r="J20" i="90"/>
  <c r="J91" i="90"/>
  <c r="J74" i="90"/>
  <c r="J63" i="90"/>
  <c r="J55" i="90"/>
  <c r="J47" i="90"/>
  <c r="J39" i="90"/>
  <c r="J35" i="90"/>
  <c r="J27" i="90"/>
  <c r="J25" i="90"/>
  <c r="J19" i="90"/>
  <c r="J76" i="90"/>
  <c r="J73" i="90"/>
  <c r="J65" i="90"/>
  <c r="J57" i="90"/>
  <c r="J49" i="90"/>
  <c r="J45" i="90"/>
  <c r="J33" i="90"/>
  <c r="J78" i="90"/>
  <c r="J54" i="90"/>
  <c r="J52" i="90"/>
  <c r="J42" i="90"/>
  <c r="J30" i="90"/>
  <c r="J68" i="90"/>
  <c r="J67" i="90"/>
  <c r="J53" i="90"/>
  <c r="J51" i="90"/>
  <c r="J44" i="90"/>
  <c r="J43" i="90"/>
  <c r="J31" i="90"/>
  <c r="J32" i="90"/>
  <c r="Z50" i="90"/>
  <c r="V69" i="90"/>
  <c r="Z31" i="92"/>
  <c r="J19" i="89"/>
  <c r="J25" i="89"/>
  <c r="J27" i="89"/>
  <c r="J35" i="89"/>
  <c r="J39" i="89"/>
  <c r="J47" i="89"/>
  <c r="J51" i="89"/>
  <c r="J59" i="89"/>
  <c r="J79" i="89"/>
  <c r="L18" i="90"/>
  <c r="N18" i="90" s="1"/>
  <c r="J34" i="90"/>
  <c r="J46" i="90"/>
  <c r="Z54" i="90"/>
  <c r="J61" i="90"/>
  <c r="J62" i="90"/>
  <c r="Z50" i="91"/>
  <c r="J20" i="89"/>
  <c r="J28" i="89"/>
  <c r="J36" i="89"/>
  <c r="J40" i="89"/>
  <c r="N52" i="89"/>
  <c r="J53" i="89"/>
  <c r="N60" i="89"/>
  <c r="J61" i="89"/>
  <c r="J84" i="89"/>
  <c r="X52" i="90"/>
  <c r="Z52" i="90" s="1"/>
  <c r="V54" i="90"/>
  <c r="L14" i="91"/>
  <c r="N14" i="91" s="1"/>
  <c r="D12" i="91"/>
  <c r="Z25" i="94"/>
  <c r="X25" i="94"/>
  <c r="X69" i="92"/>
  <c r="R69" i="92"/>
  <c r="R21" i="93"/>
  <c r="R18" i="93"/>
  <c r="R36" i="93"/>
  <c r="R33" i="93"/>
  <c r="R29" i="93"/>
  <c r="R25" i="93"/>
  <c r="P18" i="93"/>
  <c r="R15" i="93"/>
  <c r="R22" i="93"/>
  <c r="X12" i="93"/>
  <c r="R20" i="93"/>
  <c r="R16" i="93"/>
  <c r="R24" i="93"/>
  <c r="R31" i="93"/>
  <c r="R34" i="93"/>
  <c r="N25" i="93"/>
  <c r="L25" i="93"/>
  <c r="L15" i="94"/>
  <c r="D18" i="94"/>
  <c r="Z87" i="90"/>
  <c r="X87" i="90"/>
  <c r="N52" i="91"/>
  <c r="V20" i="90"/>
  <c r="V34" i="90"/>
  <c r="V35" i="90"/>
  <c r="L64" i="90"/>
  <c r="N64" i="90" s="1"/>
  <c r="N69" i="90"/>
  <c r="V80" i="90"/>
  <c r="T96" i="91"/>
  <c r="Z66" i="91"/>
  <c r="V66" i="91"/>
  <c r="V83" i="90"/>
  <c r="V79" i="90"/>
  <c r="V82" i="90"/>
  <c r="V78" i="90"/>
  <c r="V75" i="90"/>
  <c r="V71" i="90"/>
  <c r="V76" i="90"/>
  <c r="V73" i="90"/>
  <c r="V68" i="90"/>
  <c r="V64" i="90"/>
  <c r="V56" i="90"/>
  <c r="V48" i="90"/>
  <c r="V44" i="90"/>
  <c r="V32" i="90"/>
  <c r="T23" i="90"/>
  <c r="V77" i="90"/>
  <c r="V67" i="90"/>
  <c r="V59" i="90"/>
  <c r="V51" i="90"/>
  <c r="V43" i="90"/>
  <c r="V31" i="90"/>
  <c r="V87" i="90"/>
  <c r="V84" i="90"/>
  <c r="V61" i="90"/>
  <c r="V53" i="90"/>
  <c r="V41" i="90"/>
  <c r="V29" i="90"/>
  <c r="V25" i="90"/>
  <c r="V21" i="90"/>
  <c r="V26" i="90"/>
  <c r="V27" i="90"/>
  <c r="V33" i="90"/>
  <c r="V37" i="90"/>
  <c r="V38" i="90"/>
  <c r="V39" i="90"/>
  <c r="V45" i="90"/>
  <c r="V46" i="90"/>
  <c r="V47" i="90"/>
  <c r="N52" i="90"/>
  <c r="Z58" i="90"/>
  <c r="X69" i="90"/>
  <c r="V70" i="90"/>
  <c r="Z74" i="90"/>
  <c r="N48" i="91"/>
  <c r="L87" i="91"/>
  <c r="N15" i="92"/>
  <c r="L15" i="92"/>
  <c r="V18" i="90"/>
  <c r="V19" i="90"/>
  <c r="L25" i="90"/>
  <c r="N25" i="90" s="1"/>
  <c r="L26" i="90"/>
  <c r="N26" i="90" s="1"/>
  <c r="V49" i="90"/>
  <c r="V58" i="90"/>
  <c r="V60" i="90"/>
  <c r="V62" i="90"/>
  <c r="V63" i="90"/>
  <c r="V65" i="90"/>
  <c r="V74" i="90"/>
  <c r="L58" i="91"/>
  <c r="N60" i="91"/>
  <c r="L60" i="91"/>
  <c r="J15" i="92"/>
  <c r="P75" i="92"/>
  <c r="X17" i="92"/>
  <c r="Z17" i="92" s="1"/>
  <c r="R17" i="92"/>
  <c r="X31" i="92"/>
  <c r="R31" i="92"/>
  <c r="X14" i="91"/>
  <c r="Z14" i="91" s="1"/>
  <c r="P12" i="91"/>
  <c r="N18" i="91"/>
  <c r="Z60" i="91"/>
  <c r="N75" i="91"/>
  <c r="J67" i="92"/>
  <c r="J63" i="92"/>
  <c r="J51" i="92"/>
  <c r="J45" i="92"/>
  <c r="J73" i="92"/>
  <c r="J60" i="92"/>
  <c r="J56" i="92"/>
  <c r="J69" i="92"/>
  <c r="J66" i="92"/>
  <c r="J62" i="92"/>
  <c r="J58" i="92"/>
  <c r="J77" i="92"/>
  <c r="J65" i="92"/>
  <c r="J55" i="92"/>
  <c r="J49" i="92"/>
  <c r="J72" i="92"/>
  <c r="J68" i="92"/>
  <c r="J64" i="92"/>
  <c r="J52" i="92"/>
  <c r="J48" i="92"/>
  <c r="J47" i="92"/>
  <c r="J38" i="92"/>
  <c r="J26" i="92"/>
  <c r="J20" i="92"/>
  <c r="J70" i="92"/>
  <c r="J37" i="92"/>
  <c r="J31" i="92"/>
  <c r="J25" i="92"/>
  <c r="J17" i="92"/>
  <c r="J57" i="92"/>
  <c r="J46" i="92"/>
  <c r="J42" i="92"/>
  <c r="J36" i="92"/>
  <c r="J24" i="92"/>
  <c r="H17" i="92"/>
  <c r="J35" i="92"/>
  <c r="J23" i="92"/>
  <c r="J54" i="92"/>
  <c r="J32" i="92"/>
  <c r="J61" i="92"/>
  <c r="J40" i="92"/>
  <c r="J39" i="92"/>
  <c r="J33" i="92"/>
  <c r="J53" i="92"/>
  <c r="J44" i="92"/>
  <c r="J34" i="92"/>
  <c r="J28" i="92"/>
  <c r="J27" i="92"/>
  <c r="J22" i="92"/>
  <c r="N74" i="90"/>
  <c r="N44" i="92"/>
  <c r="L44" i="92"/>
  <c r="L18" i="91"/>
  <c r="N26" i="91"/>
  <c r="L19" i="92"/>
  <c r="N19" i="92" s="1"/>
  <c r="J30" i="92"/>
  <c r="N53" i="92"/>
  <c r="X25" i="91"/>
  <c r="Z25" i="91" s="1"/>
  <c r="J26" i="91"/>
  <c r="N50" i="91"/>
  <c r="L62" i="91"/>
  <c r="N62" i="91" s="1"/>
  <c r="Z64" i="91"/>
  <c r="X75" i="91"/>
  <c r="Z75" i="91" s="1"/>
  <c r="J19" i="92"/>
  <c r="J21" i="92"/>
  <c r="J50" i="92"/>
  <c r="J94" i="91"/>
  <c r="J88" i="91"/>
  <c r="J76" i="91"/>
  <c r="J72" i="91"/>
  <c r="J68" i="91"/>
  <c r="J62" i="91"/>
  <c r="J54" i="91"/>
  <c r="J44" i="91"/>
  <c r="J82" i="91"/>
  <c r="J64" i="91"/>
  <c r="J56" i="91"/>
  <c r="J48" i="91"/>
  <c r="J42" i="91"/>
  <c r="J87" i="91"/>
  <c r="J81" i="91"/>
  <c r="J75" i="91"/>
  <c r="J61" i="91"/>
  <c r="J53" i="91"/>
  <c r="J41" i="91"/>
  <c r="V30" i="91"/>
  <c r="J34" i="91"/>
  <c r="X37" i="91"/>
  <c r="Z37" i="91" s="1"/>
  <c r="J43" i="91"/>
  <c r="J50" i="91"/>
  <c r="J52" i="91"/>
  <c r="J57" i="91"/>
  <c r="V64" i="91"/>
  <c r="V70" i="91"/>
  <c r="V71" i="91"/>
  <c r="L75" i="91"/>
  <c r="J79" i="91"/>
  <c r="J85" i="91"/>
  <c r="J86" i="91"/>
  <c r="J90" i="91"/>
  <c r="N42" i="92"/>
  <c r="X42" i="92"/>
  <c r="Z42" i="92" s="1"/>
  <c r="J21" i="91"/>
  <c r="V23" i="91"/>
  <c r="J29" i="91"/>
  <c r="V33" i="91"/>
  <c r="Z48" i="91"/>
  <c r="V50" i="91"/>
  <c r="V51" i="91"/>
  <c r="V53" i="91"/>
  <c r="V55" i="91"/>
  <c r="X56" i="91"/>
  <c r="Z56" i="91" s="1"/>
  <c r="J63" i="91"/>
  <c r="N66" i="91"/>
  <c r="J67" i="91"/>
  <c r="J69" i="91"/>
  <c r="J73" i="91"/>
  <c r="J74" i="91"/>
  <c r="V83" i="91"/>
  <c r="V88" i="91"/>
  <c r="T75" i="92"/>
  <c r="R42" i="92"/>
  <c r="X55" i="92"/>
  <c r="Z55" i="92" s="1"/>
  <c r="V96" i="91"/>
  <c r="V90" i="91"/>
  <c r="V84" i="91"/>
  <c r="V80" i="91"/>
  <c r="V60" i="91"/>
  <c r="V52" i="91"/>
  <c r="V40" i="91"/>
  <c r="V86" i="91"/>
  <c r="V78" i="91"/>
  <c r="V74" i="91"/>
  <c r="V62" i="91"/>
  <c r="V54" i="91"/>
  <c r="V46" i="91"/>
  <c r="V38" i="91"/>
  <c r="V85" i="91"/>
  <c r="V77" i="91"/>
  <c r="V73" i="91"/>
  <c r="V69" i="91"/>
  <c r="V65" i="91"/>
  <c r="V57" i="91"/>
  <c r="V49" i="91"/>
  <c r="V45" i="91"/>
  <c r="V37" i="91"/>
  <c r="V18" i="91"/>
  <c r="H23" i="91"/>
  <c r="V26" i="91"/>
  <c r="J30" i="91"/>
  <c r="V34" i="91"/>
  <c r="J40" i="91"/>
  <c r="V42" i="91"/>
  <c r="V43" i="91"/>
  <c r="V44" i="91"/>
  <c r="V48" i="91"/>
  <c r="J66" i="91"/>
  <c r="N70" i="91"/>
  <c r="J71" i="91"/>
  <c r="V87" i="91"/>
  <c r="X48" i="92"/>
  <c r="Z48" i="92" s="1"/>
  <c r="Z21" i="93"/>
  <c r="X21" i="93"/>
  <c r="T27" i="94"/>
  <c r="Z18" i="94"/>
  <c r="N20" i="95"/>
  <c r="L20" i="95"/>
  <c r="R66" i="92"/>
  <c r="R62" i="92"/>
  <c r="R58" i="92"/>
  <c r="R55" i="92"/>
  <c r="R50" i="92"/>
  <c r="R77" i="92"/>
  <c r="R65" i="92"/>
  <c r="R49" i="92"/>
  <c r="R46" i="92"/>
  <c r="R75" i="92"/>
  <c r="R68" i="92"/>
  <c r="R64" i="92"/>
  <c r="R61" i="92"/>
  <c r="R70" i="92"/>
  <c r="R67" i="92"/>
  <c r="R63" i="92"/>
  <c r="R54" i="92"/>
  <c r="R51" i="92"/>
  <c r="R73" i="92"/>
  <c r="V17" i="92"/>
  <c r="V27" i="92"/>
  <c r="R28" i="92"/>
  <c r="V31" i="92"/>
  <c r="R32" i="92"/>
  <c r="V39" i="92"/>
  <c r="R40" i="92"/>
  <c r="V43" i="92"/>
  <c r="R52" i="92"/>
  <c r="R53" i="92"/>
  <c r="L57" i="92"/>
  <c r="N57" i="92" s="1"/>
  <c r="P72" i="92"/>
  <c r="X72" i="92" s="1"/>
  <c r="Z72" i="92" s="1"/>
  <c r="X73" i="92"/>
  <c r="Z73" i="92" s="1"/>
  <c r="N15" i="93"/>
  <c r="L15" i="93"/>
  <c r="Z29" i="94"/>
  <c r="X29" i="94"/>
  <c r="V77" i="92"/>
  <c r="V75" i="92"/>
  <c r="V65" i="92"/>
  <c r="V61" i="92"/>
  <c r="V57" i="92"/>
  <c r="V49" i="92"/>
  <c r="V68" i="92"/>
  <c r="V64" i="92"/>
  <c r="V52" i="92"/>
  <c r="V48" i="92"/>
  <c r="V67" i="92"/>
  <c r="V63" i="92"/>
  <c r="V70" i="92"/>
  <c r="V54" i="92"/>
  <c r="V73" i="92"/>
  <c r="V69" i="92"/>
  <c r="V53" i="92"/>
  <c r="V60" i="92"/>
  <c r="V56" i="92"/>
  <c r="V20" i="92"/>
  <c r="R21" i="92"/>
  <c r="V28" i="92"/>
  <c r="R29" i="92"/>
  <c r="V32" i="92"/>
  <c r="R33" i="92"/>
  <c r="V40" i="92"/>
  <c r="R41" i="92"/>
  <c r="R44" i="92"/>
  <c r="R45" i="92"/>
  <c r="V50" i="92"/>
  <c r="X51" i="92"/>
  <c r="Z51" i="92" s="1"/>
  <c r="V66" i="92"/>
  <c r="N72" i="92"/>
  <c r="L72" i="92"/>
  <c r="N29" i="93"/>
  <c r="L29" i="93"/>
  <c r="L13" i="94"/>
  <c r="Z33" i="94"/>
  <c r="X33" i="94"/>
  <c r="V33" i="92"/>
  <c r="V41" i="92"/>
  <c r="V45" i="92"/>
  <c r="V58" i="92"/>
  <c r="X24" i="93"/>
  <c r="Z15" i="94"/>
  <c r="X15" i="94"/>
  <c r="L22" i="94"/>
  <c r="F34" i="95"/>
  <c r="F31" i="95"/>
  <c r="F27" i="95"/>
  <c r="F24" i="95"/>
  <c r="F21" i="95"/>
  <c r="F18" i="95"/>
  <c r="F36" i="95"/>
  <c r="F33" i="95"/>
  <c r="F29" i="95"/>
  <c r="F25" i="95"/>
  <c r="D18" i="95"/>
  <c r="F15" i="95"/>
  <c r="L12" i="95"/>
  <c r="F22" i="95"/>
  <c r="N34" i="95"/>
  <c r="L34" i="95"/>
  <c r="V22" i="92"/>
  <c r="R23" i="92"/>
  <c r="V30" i="92"/>
  <c r="V34" i="92"/>
  <c r="R35" i="92"/>
  <c r="V44" i="92"/>
  <c r="V51" i="92"/>
  <c r="R56" i="92"/>
  <c r="R57" i="92"/>
  <c r="L61" i="92"/>
  <c r="N61" i="92" s="1"/>
  <c r="V62" i="92"/>
  <c r="Z63" i="92"/>
  <c r="V72" i="92"/>
  <c r="N33" i="93"/>
  <c r="L33" i="93"/>
  <c r="J34" i="94"/>
  <c r="J31" i="94"/>
  <c r="J27" i="94"/>
  <c r="J24" i="94"/>
  <c r="J21" i="94"/>
  <c r="J18" i="94"/>
  <c r="J36" i="94"/>
  <c r="J33" i="94"/>
  <c r="J29" i="94"/>
  <c r="J25" i="94"/>
  <c r="H18" i="94"/>
  <c r="J15" i="94"/>
  <c r="J22" i="94"/>
  <c r="N12" i="94"/>
  <c r="J20" i="94"/>
  <c r="F20" i="95"/>
  <c r="J18" i="93"/>
  <c r="F24" i="93"/>
  <c r="V24" i="93"/>
  <c r="F18" i="94"/>
  <c r="V18" i="94"/>
  <c r="J16" i="95"/>
  <c r="R18" i="95"/>
  <c r="J20" i="95"/>
  <c r="J21" i="93"/>
  <c r="F27" i="93"/>
  <c r="V27" i="93"/>
  <c r="F31" i="93"/>
  <c r="V31" i="93"/>
  <c r="F34" i="93"/>
  <c r="V34" i="93"/>
  <c r="F21" i="94"/>
  <c r="V21" i="94"/>
  <c r="R27" i="94"/>
  <c r="R31" i="94"/>
  <c r="R34" i="94"/>
  <c r="V15" i="95"/>
  <c r="T18" i="95"/>
  <c r="R21" i="95"/>
  <c r="V25" i="95"/>
  <c r="V29" i="95"/>
  <c r="V33" i="95"/>
  <c r="V36" i="95"/>
  <c r="Z12" i="93"/>
  <c r="F16" i="93"/>
  <c r="V16" i="93"/>
  <c r="F20" i="93"/>
  <c r="V20" i="93"/>
  <c r="J24" i="93"/>
  <c r="F24" i="94"/>
  <c r="V24" i="94"/>
  <c r="N12" i="95"/>
  <c r="J22" i="95"/>
  <c r="R24" i="95"/>
  <c r="F27" i="94"/>
  <c r="V27" i="94"/>
  <c r="F31" i="94"/>
  <c r="V31" i="94"/>
  <c r="F34" i="94"/>
  <c r="V34" i="94"/>
  <c r="H18" i="95"/>
  <c r="J25" i="95"/>
  <c r="R27" i="95"/>
  <c r="J29" i="95"/>
  <c r="R31" i="95"/>
  <c r="J33" i="95"/>
  <c r="R34" i="95"/>
  <c r="J36" i="95"/>
  <c r="X67" i="92"/>
  <c r="Z67" i="92" s="1"/>
  <c r="J16" i="93"/>
  <c r="F22" i="93"/>
  <c r="V22" i="93"/>
  <c r="Z12" i="94"/>
  <c r="F16" i="94"/>
  <c r="V16" i="94"/>
  <c r="R22" i="94"/>
  <c r="R16" i="95"/>
  <c r="J18" i="95"/>
  <c r="R20" i="95"/>
  <c r="V24" i="95"/>
  <c r="L12" i="93"/>
  <c r="F15" i="93"/>
  <c r="V15" i="93"/>
  <c r="D18" i="93"/>
  <c r="T18" i="93"/>
  <c r="F25" i="93"/>
  <c r="V25" i="93"/>
  <c r="F29" i="93"/>
  <c r="V29" i="93"/>
  <c r="F33" i="93"/>
  <c r="V33" i="93"/>
  <c r="R15" i="94"/>
  <c r="P18" i="94"/>
  <c r="R25" i="94"/>
  <c r="R29" i="94"/>
  <c r="R33" i="94"/>
  <c r="V27" i="95"/>
  <c r="V31" i="95"/>
  <c r="T27" i="10" l="1"/>
  <c r="N18" i="44"/>
  <c r="L18" i="34"/>
  <c r="Z27" i="44"/>
  <c r="T27" i="5"/>
  <c r="X18" i="29"/>
  <c r="X18" i="20"/>
  <c r="L18" i="19"/>
  <c r="X18" i="41"/>
  <c r="H27" i="93"/>
  <c r="X18" i="8"/>
  <c r="N18" i="28"/>
  <c r="L18" i="10"/>
  <c r="L18" i="35"/>
  <c r="D27" i="10"/>
  <c r="D31" i="10" s="1"/>
  <c r="H27" i="10"/>
  <c r="N18" i="7"/>
  <c r="Z18" i="44"/>
  <c r="T27" i="22"/>
  <c r="Z27" i="22" s="1"/>
  <c r="Z18" i="14"/>
  <c r="Z18" i="23"/>
  <c r="X18" i="95"/>
  <c r="N18" i="35"/>
  <c r="H27" i="35"/>
  <c r="L27" i="35" s="1"/>
  <c r="Z18" i="32"/>
  <c r="N18" i="32"/>
  <c r="Z18" i="25"/>
  <c r="L27" i="5"/>
  <c r="L18" i="14"/>
  <c r="L18" i="7"/>
  <c r="L18" i="31"/>
  <c r="D27" i="31"/>
  <c r="L27" i="31" s="1"/>
  <c r="N18" i="34"/>
  <c r="N18" i="14"/>
  <c r="L18" i="5"/>
  <c r="H27" i="34"/>
  <c r="L27" i="34" s="1"/>
  <c r="X18" i="13"/>
  <c r="H27" i="14"/>
  <c r="L27" i="14" s="1"/>
  <c r="N18" i="50"/>
  <c r="N18" i="5"/>
  <c r="Z18" i="34"/>
  <c r="T27" i="34"/>
  <c r="X27" i="34" s="1"/>
  <c r="N27" i="50"/>
  <c r="H31" i="50"/>
  <c r="P27" i="32"/>
  <c r="X18" i="32"/>
  <c r="R87" i="90"/>
  <c r="R80" i="90"/>
  <c r="R83" i="90"/>
  <c r="R79" i="90"/>
  <c r="R76" i="90"/>
  <c r="R72" i="90"/>
  <c r="R65" i="90"/>
  <c r="R62" i="90"/>
  <c r="R57" i="90"/>
  <c r="R54" i="90"/>
  <c r="R49" i="90"/>
  <c r="R45" i="90"/>
  <c r="R33" i="90"/>
  <c r="R26" i="90"/>
  <c r="R18" i="90"/>
  <c r="R73" i="90"/>
  <c r="R68" i="90"/>
  <c r="R44" i="90"/>
  <c r="R37" i="90"/>
  <c r="R32" i="90"/>
  <c r="R23" i="90"/>
  <c r="R78" i="90"/>
  <c r="R77" i="90"/>
  <c r="R42" i="90"/>
  <c r="R30" i="90"/>
  <c r="R84" i="90"/>
  <c r="R69" i="90"/>
  <c r="X12" i="90"/>
  <c r="Z12" i="90" s="1"/>
  <c r="R63" i="90"/>
  <c r="R19" i="90"/>
  <c r="R74" i="90"/>
  <c r="R70" i="90"/>
  <c r="R61" i="90"/>
  <c r="R60" i="90"/>
  <c r="R58" i="90"/>
  <c r="R47" i="90"/>
  <c r="R46" i="90"/>
  <c r="R39" i="90"/>
  <c r="R38" i="90"/>
  <c r="R27" i="90"/>
  <c r="R85" i="90"/>
  <c r="R82" i="90"/>
  <c r="R53" i="90"/>
  <c r="R20" i="90"/>
  <c r="R71" i="90"/>
  <c r="R56" i="90"/>
  <c r="R48" i="90"/>
  <c r="R41" i="90"/>
  <c r="R40" i="90"/>
  <c r="R35" i="90"/>
  <c r="R31" i="90"/>
  <c r="R21" i="90"/>
  <c r="R64" i="90"/>
  <c r="R29" i="90"/>
  <c r="R28" i="90"/>
  <c r="R91" i="90"/>
  <c r="R81" i="90"/>
  <c r="R55" i="90"/>
  <c r="R50" i="90"/>
  <c r="P23" i="90"/>
  <c r="R36" i="90"/>
  <c r="R66" i="90"/>
  <c r="R59" i="90"/>
  <c r="R25" i="90"/>
  <c r="R75" i="90"/>
  <c r="R51" i="90"/>
  <c r="R43" i="90"/>
  <c r="R67" i="90"/>
  <c r="R52" i="90"/>
  <c r="R34" i="90"/>
  <c r="X16" i="59"/>
  <c r="P60" i="59"/>
  <c r="L18" i="13"/>
  <c r="D27" i="13"/>
  <c r="H27" i="20"/>
  <c r="N18" i="20"/>
  <c r="X18" i="25"/>
  <c r="P27" i="25"/>
  <c r="N27" i="32"/>
  <c r="H31" i="32"/>
  <c r="D31" i="19"/>
  <c r="L16" i="9"/>
  <c r="D95" i="9"/>
  <c r="Z16" i="72"/>
  <c r="T24" i="72"/>
  <c r="P31" i="53"/>
  <c r="H74" i="56"/>
  <c r="H27" i="53"/>
  <c r="N18" i="53"/>
  <c r="T27" i="49"/>
  <c r="X27" i="49" s="1"/>
  <c r="Z18" i="49"/>
  <c r="P31" i="55"/>
  <c r="X16" i="55"/>
  <c r="N27" i="44"/>
  <c r="H31" i="44"/>
  <c r="H82" i="48"/>
  <c r="R87" i="45"/>
  <c r="R83" i="45"/>
  <c r="R72" i="45"/>
  <c r="R68" i="45"/>
  <c r="R63" i="45"/>
  <c r="R60" i="45"/>
  <c r="R55" i="45"/>
  <c r="R52" i="45"/>
  <c r="R47" i="45"/>
  <c r="R39" i="45"/>
  <c r="R35" i="45"/>
  <c r="R27" i="45"/>
  <c r="R19" i="45"/>
  <c r="R99" i="45"/>
  <c r="R93" i="45"/>
  <c r="R86" i="45"/>
  <c r="R81" i="45"/>
  <c r="R65" i="45"/>
  <c r="R62" i="45"/>
  <c r="R57" i="45"/>
  <c r="R54" i="45"/>
  <c r="R49" i="45"/>
  <c r="R45" i="45"/>
  <c r="R33" i="45"/>
  <c r="R26" i="45"/>
  <c r="R18" i="45"/>
  <c r="R92" i="45"/>
  <c r="R89" i="45"/>
  <c r="R80" i="45"/>
  <c r="R76" i="45"/>
  <c r="R44" i="45"/>
  <c r="R37" i="45"/>
  <c r="R32" i="45"/>
  <c r="R23" i="45"/>
  <c r="R79" i="45"/>
  <c r="R75" i="45"/>
  <c r="R71" i="45"/>
  <c r="R67" i="45"/>
  <c r="R64" i="45"/>
  <c r="R59" i="45"/>
  <c r="R56" i="45"/>
  <c r="R51" i="45"/>
  <c r="R48" i="45"/>
  <c r="R43" i="45"/>
  <c r="R31" i="45"/>
  <c r="P23" i="45"/>
  <c r="R91" i="45"/>
  <c r="R78" i="45"/>
  <c r="R74" i="45"/>
  <c r="R70" i="45"/>
  <c r="R42" i="45"/>
  <c r="R30" i="45"/>
  <c r="R85" i="45"/>
  <c r="R73" i="45"/>
  <c r="R69" i="45"/>
  <c r="R66" i="45"/>
  <c r="R61" i="45"/>
  <c r="R58" i="45"/>
  <c r="R53" i="45"/>
  <c r="R50" i="45"/>
  <c r="R41" i="45"/>
  <c r="R29" i="45"/>
  <c r="R21" i="45"/>
  <c r="R95" i="45"/>
  <c r="R84" i="45"/>
  <c r="R88" i="45"/>
  <c r="R38" i="45"/>
  <c r="X12" i="45"/>
  <c r="Z12" i="45" s="1"/>
  <c r="R34" i="45"/>
  <c r="R82" i="45"/>
  <c r="R20" i="45"/>
  <c r="R90" i="45"/>
  <c r="R46" i="45"/>
  <c r="R77" i="45"/>
  <c r="R40" i="45"/>
  <c r="R28" i="45"/>
  <c r="R25" i="45"/>
  <c r="R36" i="45"/>
  <c r="H27" i="37"/>
  <c r="L27" i="37" s="1"/>
  <c r="N18" i="37"/>
  <c r="D31" i="46"/>
  <c r="X27" i="37"/>
  <c r="P31" i="37"/>
  <c r="D27" i="32"/>
  <c r="L18" i="32"/>
  <c r="H119" i="30"/>
  <c r="Z18" i="31"/>
  <c r="T27" i="31"/>
  <c r="L18" i="28"/>
  <c r="D27" i="28"/>
  <c r="P27" i="28"/>
  <c r="X18" i="28"/>
  <c r="R74" i="21"/>
  <c r="R70" i="21"/>
  <c r="R61" i="21"/>
  <c r="R58" i="21"/>
  <c r="R41" i="21"/>
  <c r="R29" i="21"/>
  <c r="R21" i="21"/>
  <c r="R85" i="21"/>
  <c r="R52" i="21"/>
  <c r="R49" i="21"/>
  <c r="R40" i="21"/>
  <c r="R28" i="21"/>
  <c r="R25" i="21"/>
  <c r="R20" i="21"/>
  <c r="X12" i="21"/>
  <c r="Z12" i="21" s="1"/>
  <c r="R79" i="21"/>
  <c r="R67" i="21"/>
  <c r="R63" i="21"/>
  <c r="R60" i="21"/>
  <c r="R55" i="21"/>
  <c r="R39" i="21"/>
  <c r="R35" i="21"/>
  <c r="R27" i="21"/>
  <c r="R19" i="21"/>
  <c r="R82" i="21"/>
  <c r="R78" i="21"/>
  <c r="R66" i="21"/>
  <c r="R54" i="21"/>
  <c r="R51" i="21"/>
  <c r="R46" i="21"/>
  <c r="R38" i="21"/>
  <c r="R34" i="21"/>
  <c r="R88" i="21"/>
  <c r="R81" i="21"/>
  <c r="R77" i="21"/>
  <c r="R73" i="21"/>
  <c r="R69" i="21"/>
  <c r="R65" i="21"/>
  <c r="R62" i="21"/>
  <c r="R57" i="21"/>
  <c r="R45" i="21"/>
  <c r="R37" i="21"/>
  <c r="R33" i="21"/>
  <c r="R26" i="21"/>
  <c r="R18" i="21"/>
  <c r="R84" i="21"/>
  <c r="R76" i="21"/>
  <c r="R72" i="21"/>
  <c r="R53" i="21"/>
  <c r="R48" i="21"/>
  <c r="R44" i="21"/>
  <c r="R32" i="21"/>
  <c r="R92" i="21"/>
  <c r="R86" i="21"/>
  <c r="R75" i="21"/>
  <c r="R83" i="21"/>
  <c r="R59" i="21"/>
  <c r="R50" i="21"/>
  <c r="R30" i="21"/>
  <c r="P23" i="21"/>
  <c r="R80" i="21"/>
  <c r="R56" i="21"/>
  <c r="R31" i="21"/>
  <c r="R64" i="21"/>
  <c r="R47" i="21"/>
  <c r="R42" i="21"/>
  <c r="R71" i="21"/>
  <c r="R68" i="21"/>
  <c r="R43" i="21"/>
  <c r="R36" i="21"/>
  <c r="F154" i="18"/>
  <c r="F138" i="18"/>
  <c r="F131" i="18"/>
  <c r="F119" i="18"/>
  <c r="F115" i="18"/>
  <c r="F103" i="18"/>
  <c r="F91" i="18"/>
  <c r="F79" i="18"/>
  <c r="F71" i="18"/>
  <c r="F67" i="18"/>
  <c r="F58" i="18"/>
  <c r="F51" i="18"/>
  <c r="F43" i="18"/>
  <c r="F35" i="18"/>
  <c r="F27" i="18"/>
  <c r="F151" i="18"/>
  <c r="F141" i="18"/>
  <c r="F114" i="18"/>
  <c r="F109" i="18"/>
  <c r="F106" i="18"/>
  <c r="F97" i="18"/>
  <c r="F94" i="18"/>
  <c r="F85" i="18"/>
  <c r="F82" i="18"/>
  <c r="F78" i="18"/>
  <c r="F66" i="18"/>
  <c r="F50" i="18"/>
  <c r="F42" i="18"/>
  <c r="F34" i="18"/>
  <c r="F26" i="18"/>
  <c r="F21" i="18"/>
  <c r="L12" i="18"/>
  <c r="N12" i="18" s="1"/>
  <c r="F161" i="18"/>
  <c r="F156" i="18"/>
  <c r="F137" i="18"/>
  <c r="F77" i="18"/>
  <c r="F65" i="18"/>
  <c r="F49" i="18"/>
  <c r="F41" i="18"/>
  <c r="F33" i="18"/>
  <c r="F25" i="18"/>
  <c r="F153" i="18"/>
  <c r="F147" i="18"/>
  <c r="F143" i="18"/>
  <c r="F140" i="18"/>
  <c r="F136" i="18"/>
  <c r="F127" i="18"/>
  <c r="F123" i="18"/>
  <c r="F111" i="18"/>
  <c r="F108" i="18"/>
  <c r="F99" i="18"/>
  <c r="F96" i="18"/>
  <c r="F87" i="18"/>
  <c r="F84" i="18"/>
  <c r="F76" i="18"/>
  <c r="F64" i="18"/>
  <c r="F59" i="18"/>
  <c r="F48" i="18"/>
  <c r="F40" i="18"/>
  <c r="F32" i="18"/>
  <c r="F24" i="18"/>
  <c r="F139" i="18"/>
  <c r="F135" i="18"/>
  <c r="F130" i="18"/>
  <c r="F118" i="18"/>
  <c r="F102" i="18"/>
  <c r="F90" i="18"/>
  <c r="F75" i="18"/>
  <c r="F70" i="18"/>
  <c r="F63" i="18"/>
  <c r="F56" i="18"/>
  <c r="F47" i="18"/>
  <c r="F39" i="18"/>
  <c r="F31" i="18"/>
  <c r="F23" i="18"/>
  <c r="F155" i="18"/>
  <c r="F146" i="18"/>
  <c r="F142" i="18"/>
  <c r="F134" i="18"/>
  <c r="F126" i="18"/>
  <c r="F122" i="18"/>
  <c r="F113" i="18"/>
  <c r="F110" i="18"/>
  <c r="F105" i="18"/>
  <c r="F98" i="18"/>
  <c r="F93" i="18"/>
  <c r="F86" i="18"/>
  <c r="F81" i="18"/>
  <c r="F74" i="18"/>
  <c r="F62" i="18"/>
  <c r="D56" i="18"/>
  <c r="F54" i="18"/>
  <c r="F46" i="18"/>
  <c r="F38" i="18"/>
  <c r="F30" i="18"/>
  <c r="F22" i="18"/>
  <c r="F124" i="18"/>
  <c r="F120" i="18"/>
  <c r="F104" i="18"/>
  <c r="F101" i="18"/>
  <c r="F95" i="18"/>
  <c r="F61" i="18"/>
  <c r="F52" i="18"/>
  <c r="F44" i="18"/>
  <c r="F36" i="18"/>
  <c r="F28" i="18"/>
  <c r="F157" i="18"/>
  <c r="F144" i="18"/>
  <c r="F129" i="18"/>
  <c r="F148" i="18"/>
  <c r="F145" i="18"/>
  <c r="F132" i="18"/>
  <c r="F92" i="18"/>
  <c r="F150" i="18"/>
  <c r="F133" i="18"/>
  <c r="F112" i="18"/>
  <c r="F68" i="18"/>
  <c r="F107" i="18"/>
  <c r="F88" i="18"/>
  <c r="F69" i="18"/>
  <c r="F116" i="18"/>
  <c r="F89" i="18"/>
  <c r="F83" i="18"/>
  <c r="F72" i="18"/>
  <c r="F121" i="18"/>
  <c r="F100" i="18"/>
  <c r="F73" i="18"/>
  <c r="F60" i="18"/>
  <c r="F53" i="18"/>
  <c r="F152" i="18"/>
  <c r="F125" i="18"/>
  <c r="F37" i="18"/>
  <c r="F128" i="18"/>
  <c r="F117" i="18"/>
  <c r="F45" i="18"/>
  <c r="F80" i="18"/>
  <c r="F29" i="18"/>
  <c r="T27" i="11"/>
  <c r="Z18" i="11"/>
  <c r="Z27" i="23"/>
  <c r="T31" i="23"/>
  <c r="P31" i="20"/>
  <c r="L27" i="10"/>
  <c r="D151" i="15"/>
  <c r="L50" i="15"/>
  <c r="N50" i="15" s="1"/>
  <c r="H36" i="5"/>
  <c r="N36" i="5" s="1"/>
  <c r="N31" i="5"/>
  <c r="H92" i="91"/>
  <c r="J23" i="91"/>
  <c r="T107" i="67"/>
  <c r="H62" i="60"/>
  <c r="H27" i="46"/>
  <c r="L27" i="46" s="1"/>
  <c r="N18" i="46"/>
  <c r="F86" i="45"/>
  <c r="F79" i="45"/>
  <c r="F75" i="45"/>
  <c r="F71" i="45"/>
  <c r="F67" i="45"/>
  <c r="F62" i="45"/>
  <c r="F59" i="45"/>
  <c r="F54" i="45"/>
  <c r="F51" i="45"/>
  <c r="F43" i="45"/>
  <c r="F31" i="45"/>
  <c r="F26" i="45"/>
  <c r="F18" i="45"/>
  <c r="F85" i="45"/>
  <c r="F73" i="45"/>
  <c r="F69" i="45"/>
  <c r="F64" i="45"/>
  <c r="F61" i="45"/>
  <c r="F56" i="45"/>
  <c r="F53" i="45"/>
  <c r="F48" i="45"/>
  <c r="F41" i="45"/>
  <c r="F29" i="45"/>
  <c r="D23" i="45"/>
  <c r="F21" i="45"/>
  <c r="F91" i="45"/>
  <c r="F88" i="45"/>
  <c r="F84" i="45"/>
  <c r="F40" i="45"/>
  <c r="F36" i="45"/>
  <c r="F28" i="45"/>
  <c r="F20" i="45"/>
  <c r="L12" i="45"/>
  <c r="N12" i="45" s="1"/>
  <c r="F87" i="45"/>
  <c r="F83" i="45"/>
  <c r="F66" i="45"/>
  <c r="F63" i="45"/>
  <c r="F58" i="45"/>
  <c r="F55" i="45"/>
  <c r="F50" i="45"/>
  <c r="F47" i="45"/>
  <c r="F39" i="45"/>
  <c r="F35" i="45"/>
  <c r="F27" i="45"/>
  <c r="F19" i="45"/>
  <c r="F95" i="45"/>
  <c r="F90" i="45"/>
  <c r="F82" i="45"/>
  <c r="F77" i="45"/>
  <c r="F46" i="45"/>
  <c r="F38" i="45"/>
  <c r="F34" i="45"/>
  <c r="F25" i="45"/>
  <c r="F99" i="45"/>
  <c r="F93" i="45"/>
  <c r="F81" i="45"/>
  <c r="F72" i="45"/>
  <c r="F68" i="45"/>
  <c r="F65" i="45"/>
  <c r="F60" i="45"/>
  <c r="F57" i="45"/>
  <c r="F52" i="45"/>
  <c r="F49" i="45"/>
  <c r="F45" i="45"/>
  <c r="F33" i="45"/>
  <c r="F92" i="45"/>
  <c r="F78" i="45"/>
  <c r="F74" i="45"/>
  <c r="F32" i="45"/>
  <c r="F23" i="45"/>
  <c r="F44" i="45"/>
  <c r="F42" i="45"/>
  <c r="F37" i="45"/>
  <c r="F30" i="45"/>
  <c r="F89" i="45"/>
  <c r="F70" i="45"/>
  <c r="F76" i="45"/>
  <c r="F80" i="45"/>
  <c r="X18" i="94"/>
  <c r="P27" i="94"/>
  <c r="L18" i="94"/>
  <c r="D27" i="94"/>
  <c r="T26" i="82"/>
  <c r="Z16" i="82"/>
  <c r="F72" i="69"/>
  <c r="F48" i="69"/>
  <c r="F44" i="69"/>
  <c r="F36" i="69"/>
  <c r="F28" i="69"/>
  <c r="F20" i="69"/>
  <c r="F66" i="69"/>
  <c r="F63" i="69"/>
  <c r="F58" i="69"/>
  <c r="F55" i="69"/>
  <c r="F47" i="69"/>
  <c r="F43" i="69"/>
  <c r="F35" i="69"/>
  <c r="F27" i="69"/>
  <c r="F75" i="69"/>
  <c r="F54" i="69"/>
  <c r="F46" i="69"/>
  <c r="F42" i="69"/>
  <c r="F33" i="69"/>
  <c r="F26" i="69"/>
  <c r="F68" i="69"/>
  <c r="F65" i="69"/>
  <c r="F60" i="69"/>
  <c r="F57" i="69"/>
  <c r="F53" i="69"/>
  <c r="F41" i="69"/>
  <c r="F77" i="69"/>
  <c r="F71" i="69"/>
  <c r="F52" i="69"/>
  <c r="F40" i="69"/>
  <c r="F24" i="69"/>
  <c r="F19" i="69"/>
  <c r="F67" i="69"/>
  <c r="F62" i="69"/>
  <c r="F59" i="69"/>
  <c r="F51" i="69"/>
  <c r="F39" i="69"/>
  <c r="F34" i="69"/>
  <c r="F23" i="69"/>
  <c r="F69" i="69"/>
  <c r="F61" i="69"/>
  <c r="F45" i="69"/>
  <c r="L12" i="69"/>
  <c r="N12" i="69" s="1"/>
  <c r="F56" i="69"/>
  <c r="F74" i="69"/>
  <c r="F70" i="69"/>
  <c r="F49" i="69"/>
  <c r="F29" i="69"/>
  <c r="F50" i="69"/>
  <c r="F37" i="69"/>
  <c r="F25" i="69"/>
  <c r="D31" i="69"/>
  <c r="F76" i="69"/>
  <c r="F38" i="69"/>
  <c r="F22" i="69"/>
  <c r="F21" i="69"/>
  <c r="F64" i="69"/>
  <c r="F81" i="69"/>
  <c r="N16" i="64"/>
  <c r="H31" i="64"/>
  <c r="L18" i="49"/>
  <c r="D27" i="49"/>
  <c r="T27" i="40"/>
  <c r="Z18" i="40"/>
  <c r="D26" i="86"/>
  <c r="L16" i="86"/>
  <c r="F91" i="84"/>
  <c r="F81" i="84"/>
  <c r="F78" i="84"/>
  <c r="F74" i="84"/>
  <c r="F65" i="84"/>
  <c r="F57" i="84"/>
  <c r="F54" i="84"/>
  <c r="F42" i="84"/>
  <c r="F34" i="84"/>
  <c r="F30" i="84"/>
  <c r="F89" i="84"/>
  <c r="F77" i="84"/>
  <c r="F73" i="84"/>
  <c r="F60" i="84"/>
  <c r="F48" i="84"/>
  <c r="F45" i="84"/>
  <c r="F41" i="84"/>
  <c r="F29" i="84"/>
  <c r="F16" i="84"/>
  <c r="F80" i="84"/>
  <c r="F72" i="84"/>
  <c r="F67" i="84"/>
  <c r="F64" i="84"/>
  <c r="F56" i="84"/>
  <c r="F51" i="84"/>
  <c r="F40" i="84"/>
  <c r="F28" i="84"/>
  <c r="F23" i="84"/>
  <c r="F84" i="84"/>
  <c r="F71" i="84"/>
  <c r="F63" i="84"/>
  <c r="F59" i="84"/>
  <c r="F47" i="84"/>
  <c r="F39" i="84"/>
  <c r="F27" i="84"/>
  <c r="F20" i="84"/>
  <c r="F94" i="84"/>
  <c r="F87" i="84"/>
  <c r="F82" i="84"/>
  <c r="F70" i="84"/>
  <c r="F66" i="84"/>
  <c r="F62" i="84"/>
  <c r="F58" i="84"/>
  <c r="F53" i="84"/>
  <c r="F50" i="84"/>
  <c r="F38" i="84"/>
  <c r="F33" i="84"/>
  <c r="F26" i="84"/>
  <c r="D20" i="84"/>
  <c r="F18" i="84"/>
  <c r="F76" i="84"/>
  <c r="F69" i="84"/>
  <c r="F61" i="84"/>
  <c r="F49" i="84"/>
  <c r="F44" i="84"/>
  <c r="F37" i="84"/>
  <c r="F25" i="84"/>
  <c r="F17" i="84"/>
  <c r="F85" i="84"/>
  <c r="F79" i="84"/>
  <c r="F68" i="84"/>
  <c r="F55" i="84"/>
  <c r="F52" i="84"/>
  <c r="F36" i="84"/>
  <c r="F32" i="84"/>
  <c r="F24" i="84"/>
  <c r="L12" i="84"/>
  <c r="N12" i="84" s="1"/>
  <c r="F35" i="84"/>
  <c r="F46" i="84"/>
  <c r="F75" i="84"/>
  <c r="F31" i="84"/>
  <c r="F43" i="84"/>
  <c r="F22" i="84"/>
  <c r="T90" i="77"/>
  <c r="P89" i="75"/>
  <c r="X24" i="75"/>
  <c r="T61" i="61"/>
  <c r="D100" i="62"/>
  <c r="L17" i="62"/>
  <c r="T97" i="45"/>
  <c r="V23" i="45"/>
  <c r="L18" i="95"/>
  <c r="D27" i="95"/>
  <c r="P31" i="95"/>
  <c r="N27" i="93"/>
  <c r="H31" i="93"/>
  <c r="H75" i="92"/>
  <c r="R81" i="91"/>
  <c r="R70" i="91"/>
  <c r="R66" i="91"/>
  <c r="R61" i="91"/>
  <c r="R58" i="91"/>
  <c r="R53" i="91"/>
  <c r="R50" i="91"/>
  <c r="R41" i="91"/>
  <c r="R90" i="91"/>
  <c r="R79" i="91"/>
  <c r="R63" i="91"/>
  <c r="R60" i="91"/>
  <c r="R55" i="91"/>
  <c r="R52" i="91"/>
  <c r="R47" i="91"/>
  <c r="R39" i="91"/>
  <c r="R86" i="91"/>
  <c r="R83" i="91"/>
  <c r="R78" i="91"/>
  <c r="R74" i="91"/>
  <c r="R46" i="91"/>
  <c r="R38" i="91"/>
  <c r="R59" i="91"/>
  <c r="R56" i="91"/>
  <c r="R54" i="91"/>
  <c r="R35" i="91"/>
  <c r="R27" i="91"/>
  <c r="R19" i="91"/>
  <c r="R85" i="91"/>
  <c r="R57" i="91"/>
  <c r="R44" i="91"/>
  <c r="R43" i="91"/>
  <c r="R42" i="91"/>
  <c r="R34" i="91"/>
  <c r="R31" i="91"/>
  <c r="P23" i="91"/>
  <c r="R69" i="91"/>
  <c r="R51" i="91"/>
  <c r="R29" i="91"/>
  <c r="R23" i="91"/>
  <c r="R21" i="91"/>
  <c r="R20" i="91"/>
  <c r="R80" i="91"/>
  <c r="R75" i="91"/>
  <c r="R64" i="91"/>
  <c r="R30" i="91"/>
  <c r="R71" i="91"/>
  <c r="R45" i="91"/>
  <c r="R33" i="91"/>
  <c r="R94" i="91"/>
  <c r="R87" i="91"/>
  <c r="R76" i="91"/>
  <c r="R48" i="91"/>
  <c r="R40" i="91"/>
  <c r="R32" i="91"/>
  <c r="R73" i="91"/>
  <c r="R77" i="91"/>
  <c r="R65" i="91"/>
  <c r="R62" i="91"/>
  <c r="R26" i="91"/>
  <c r="R49" i="91"/>
  <c r="R25" i="91"/>
  <c r="R18" i="91"/>
  <c r="R72" i="91"/>
  <c r="R68" i="91"/>
  <c r="X12" i="91"/>
  <c r="Z12" i="91" s="1"/>
  <c r="R82" i="91"/>
  <c r="R28" i="91"/>
  <c r="R84" i="91"/>
  <c r="R88" i="91"/>
  <c r="R37" i="91"/>
  <c r="R36" i="91"/>
  <c r="R67" i="91"/>
  <c r="H26" i="86"/>
  <c r="N16" i="86"/>
  <c r="H96" i="83"/>
  <c r="H30" i="82"/>
  <c r="N26" i="82"/>
  <c r="H90" i="77"/>
  <c r="T26" i="78"/>
  <c r="Z16" i="78"/>
  <c r="X16" i="72"/>
  <c r="P24" i="72"/>
  <c r="R24" i="75"/>
  <c r="R105" i="67"/>
  <c r="R89" i="67"/>
  <c r="R85" i="67"/>
  <c r="R73" i="67"/>
  <c r="R70" i="67"/>
  <c r="R65" i="67"/>
  <c r="R61" i="67"/>
  <c r="R49" i="67"/>
  <c r="R40" i="67"/>
  <c r="R33" i="67"/>
  <c r="R25" i="67"/>
  <c r="R96" i="67"/>
  <c r="R92" i="67"/>
  <c r="R88" i="67"/>
  <c r="R84" i="67"/>
  <c r="R81" i="67"/>
  <c r="R76" i="67"/>
  <c r="R60" i="67"/>
  <c r="R53" i="67"/>
  <c r="R48" i="67"/>
  <c r="P40" i="67"/>
  <c r="R32" i="67"/>
  <c r="R24" i="67"/>
  <c r="R102" i="67"/>
  <c r="R95" i="67"/>
  <c r="R91" i="67"/>
  <c r="R87" i="67"/>
  <c r="R75" i="67"/>
  <c r="R72" i="67"/>
  <c r="R67" i="67"/>
  <c r="R64" i="67"/>
  <c r="R59" i="67"/>
  <c r="R47" i="67"/>
  <c r="R31" i="67"/>
  <c r="R23" i="67"/>
  <c r="R104" i="67"/>
  <c r="R98" i="67"/>
  <c r="R94" i="67"/>
  <c r="R83" i="67"/>
  <c r="R78" i="67"/>
  <c r="R58" i="67"/>
  <c r="R46" i="67"/>
  <c r="R38" i="67"/>
  <c r="R30" i="67"/>
  <c r="R22" i="67"/>
  <c r="R109" i="67"/>
  <c r="R100" i="67"/>
  <c r="R97" i="67"/>
  <c r="R93" i="67"/>
  <c r="R80" i="67"/>
  <c r="R77" i="67"/>
  <c r="R56" i="67"/>
  <c r="R52" i="67"/>
  <c r="R44" i="67"/>
  <c r="R36" i="67"/>
  <c r="R28" i="67"/>
  <c r="R20" i="67"/>
  <c r="R103" i="67"/>
  <c r="R71" i="67"/>
  <c r="R68" i="67"/>
  <c r="R63" i="67"/>
  <c r="R55" i="67"/>
  <c r="R51" i="67"/>
  <c r="R35" i="67"/>
  <c r="R27" i="67"/>
  <c r="R82" i="67"/>
  <c r="R69" i="67"/>
  <c r="R57" i="67"/>
  <c r="R54" i="67"/>
  <c r="R50" i="67"/>
  <c r="R43" i="67"/>
  <c r="R37" i="67"/>
  <c r="R21" i="67"/>
  <c r="R99" i="67"/>
  <c r="R34" i="67"/>
  <c r="R90" i="67"/>
  <c r="R86" i="67"/>
  <c r="R79" i="67"/>
  <c r="R66" i="67"/>
  <c r="R19" i="67"/>
  <c r="R29" i="67"/>
  <c r="R62" i="67"/>
  <c r="R45" i="67"/>
  <c r="X12" i="67"/>
  <c r="Z12" i="67" s="1"/>
  <c r="R42" i="67"/>
  <c r="R26" i="67"/>
  <c r="R74" i="67"/>
  <c r="T30" i="76"/>
  <c r="T84" i="63"/>
  <c r="V30" i="63"/>
  <c r="D58" i="60"/>
  <c r="L16" i="60"/>
  <c r="L18" i="52"/>
  <c r="D27" i="52"/>
  <c r="H27" i="49"/>
  <c r="N18" i="49"/>
  <c r="T67" i="59"/>
  <c r="T31" i="54"/>
  <c r="Z26" i="54"/>
  <c r="H97" i="45"/>
  <c r="J23" i="45"/>
  <c r="T72" i="57"/>
  <c r="D27" i="44"/>
  <c r="L18" i="44"/>
  <c r="P27" i="40"/>
  <c r="X18" i="40"/>
  <c r="P31" i="34"/>
  <c r="F114" i="36"/>
  <c r="F108" i="36"/>
  <c r="F101" i="36"/>
  <c r="F97" i="36"/>
  <c r="F56" i="36"/>
  <c r="F53" i="36"/>
  <c r="F45" i="36"/>
  <c r="F33" i="36"/>
  <c r="F28" i="36"/>
  <c r="F20" i="36"/>
  <c r="F104" i="36"/>
  <c r="F96" i="36"/>
  <c r="F87" i="36"/>
  <c r="F79" i="36"/>
  <c r="F75" i="36"/>
  <c r="F72" i="36"/>
  <c r="F67" i="36"/>
  <c r="F64" i="36"/>
  <c r="F59" i="36"/>
  <c r="F44" i="36"/>
  <c r="F39" i="36"/>
  <c r="F32" i="36"/>
  <c r="L12" i="36"/>
  <c r="N12" i="36" s="1"/>
  <c r="F107" i="36"/>
  <c r="F95" i="36"/>
  <c r="F55" i="36"/>
  <c r="F50" i="36"/>
  <c r="F43" i="36"/>
  <c r="F31" i="36"/>
  <c r="D25" i="36"/>
  <c r="F23" i="36"/>
  <c r="F118" i="36"/>
  <c r="F113" i="36"/>
  <c r="F111" i="36"/>
  <c r="F106" i="36"/>
  <c r="F94" i="36"/>
  <c r="F89" i="36"/>
  <c r="F86" i="36"/>
  <c r="F81" i="36"/>
  <c r="F78" i="36"/>
  <c r="F74" i="36"/>
  <c r="F69" i="36"/>
  <c r="F66" i="36"/>
  <c r="F61" i="36"/>
  <c r="F58" i="36"/>
  <c r="F42" i="36"/>
  <c r="F38" i="36"/>
  <c r="F30" i="36"/>
  <c r="F22" i="36"/>
  <c r="F109" i="36"/>
  <c r="F100" i="36"/>
  <c r="F93" i="36"/>
  <c r="F85" i="36"/>
  <c r="F77" i="36"/>
  <c r="F57" i="36"/>
  <c r="F52" i="36"/>
  <c r="F49" i="36"/>
  <c r="F41" i="36"/>
  <c r="F37" i="36"/>
  <c r="F29" i="36"/>
  <c r="F21" i="36"/>
  <c r="F103" i="36"/>
  <c r="F92" i="36"/>
  <c r="F88" i="36"/>
  <c r="F84" i="36"/>
  <c r="F80" i="36"/>
  <c r="F76" i="36"/>
  <c r="F71" i="36"/>
  <c r="F68" i="36"/>
  <c r="F63" i="36"/>
  <c r="F60" i="36"/>
  <c r="F48" i="36"/>
  <c r="F40" i="36"/>
  <c r="F36" i="36"/>
  <c r="F27" i="36"/>
  <c r="F83" i="36"/>
  <c r="F65" i="36"/>
  <c r="F105" i="36"/>
  <c r="F98" i="36"/>
  <c r="F90" i="36"/>
  <c r="F34" i="36"/>
  <c r="F102" i="36"/>
  <c r="F99" i="36"/>
  <c r="F91" i="36"/>
  <c r="F62" i="36"/>
  <c r="F112" i="36"/>
  <c r="F73" i="36"/>
  <c r="F46" i="36"/>
  <c r="F82" i="36"/>
  <c r="F54" i="36"/>
  <c r="F70" i="36"/>
  <c r="F47" i="36"/>
  <c r="F51" i="36"/>
  <c r="F35" i="36"/>
  <c r="N27" i="52"/>
  <c r="H31" i="52"/>
  <c r="X18" i="26"/>
  <c r="P27" i="26"/>
  <c r="T116" i="36"/>
  <c r="P27" i="23"/>
  <c r="X18" i="23"/>
  <c r="D36" i="34"/>
  <c r="L18" i="11"/>
  <c r="D27" i="11"/>
  <c r="T27" i="8"/>
  <c r="Z18" i="8"/>
  <c r="T151" i="15"/>
  <c r="Z50" i="15"/>
  <c r="H27" i="19"/>
  <c r="L27" i="19" s="1"/>
  <c r="N18" i="19"/>
  <c r="H27" i="26"/>
  <c r="N18" i="26"/>
  <c r="Z27" i="14"/>
  <c r="T31" i="14"/>
  <c r="T27" i="17"/>
  <c r="Z18" i="17"/>
  <c r="F138" i="12"/>
  <c r="F114" i="12"/>
  <c r="F109" i="12"/>
  <c r="F106" i="12"/>
  <c r="F97" i="12"/>
  <c r="F94" i="12"/>
  <c r="F85" i="12"/>
  <c r="F82" i="12"/>
  <c r="F74" i="12"/>
  <c r="F62" i="12"/>
  <c r="F57" i="12"/>
  <c r="F46" i="12"/>
  <c r="F38" i="12"/>
  <c r="F30" i="12"/>
  <c r="L12" i="12"/>
  <c r="N12" i="12" s="1"/>
  <c r="F140" i="12"/>
  <c r="F136" i="12"/>
  <c r="F131" i="12"/>
  <c r="F123" i="12"/>
  <c r="F111" i="12"/>
  <c r="F108" i="12"/>
  <c r="F103" i="12"/>
  <c r="F96" i="12"/>
  <c r="F91" i="12"/>
  <c r="F84" i="12"/>
  <c r="F79" i="12"/>
  <c r="F72" i="12"/>
  <c r="F60" i="12"/>
  <c r="D54" i="12"/>
  <c r="F52" i="12"/>
  <c r="F44" i="12"/>
  <c r="F36" i="12"/>
  <c r="F28" i="12"/>
  <c r="F23" i="12"/>
  <c r="F156" i="12"/>
  <c r="F147" i="12"/>
  <c r="F143" i="12"/>
  <c r="F135" i="12"/>
  <c r="F127" i="12"/>
  <c r="F118" i="12"/>
  <c r="F99" i="12"/>
  <c r="F87" i="12"/>
  <c r="F71" i="12"/>
  <c r="F67" i="12"/>
  <c r="F59" i="12"/>
  <c r="F51" i="12"/>
  <c r="F43" i="12"/>
  <c r="F35" i="12"/>
  <c r="F27" i="12"/>
  <c r="F153" i="12"/>
  <c r="F151" i="12"/>
  <c r="F146" i="12"/>
  <c r="F134" i="12"/>
  <c r="F130" i="12"/>
  <c r="F126" i="12"/>
  <c r="F122" i="12"/>
  <c r="F113" i="12"/>
  <c r="F110" i="12"/>
  <c r="F105" i="12"/>
  <c r="F102" i="12"/>
  <c r="F98" i="12"/>
  <c r="F93" i="12"/>
  <c r="F90" i="12"/>
  <c r="F86" i="12"/>
  <c r="F81" i="12"/>
  <c r="F78" i="12"/>
  <c r="F70" i="12"/>
  <c r="F66" i="12"/>
  <c r="F58" i="12"/>
  <c r="F50" i="12"/>
  <c r="F42" i="12"/>
  <c r="F34" i="12"/>
  <c r="F26" i="12"/>
  <c r="F149" i="12"/>
  <c r="F145" i="12"/>
  <c r="F133" i="12"/>
  <c r="F129" i="12"/>
  <c r="F125" i="12"/>
  <c r="F121" i="12"/>
  <c r="F117" i="12"/>
  <c r="F101" i="12"/>
  <c r="F89" i="12"/>
  <c r="F77" i="12"/>
  <c r="F69" i="12"/>
  <c r="F65" i="12"/>
  <c r="F56" i="12"/>
  <c r="F49" i="12"/>
  <c r="F41" i="12"/>
  <c r="F33" i="12"/>
  <c r="F25" i="12"/>
  <c r="F160" i="12"/>
  <c r="F155" i="12"/>
  <c r="F139" i="12"/>
  <c r="F132" i="12"/>
  <c r="F124" i="12"/>
  <c r="F120" i="12"/>
  <c r="F116" i="12"/>
  <c r="F112" i="12"/>
  <c r="F107" i="12"/>
  <c r="F104" i="12"/>
  <c r="F95" i="12"/>
  <c r="F92" i="12"/>
  <c r="F83" i="12"/>
  <c r="F80" i="12"/>
  <c r="F76" i="12"/>
  <c r="F64" i="12"/>
  <c r="F48" i="12"/>
  <c r="F40" i="12"/>
  <c r="F32" i="12"/>
  <c r="F24" i="12"/>
  <c r="F119" i="12"/>
  <c r="F63" i="12"/>
  <c r="F142" i="12"/>
  <c r="F100" i="12"/>
  <c r="F68" i="12"/>
  <c r="F47" i="12"/>
  <c r="F39" i="12"/>
  <c r="F31" i="12"/>
  <c r="F137" i="12"/>
  <c r="F88" i="12"/>
  <c r="F75" i="12"/>
  <c r="F152" i="12"/>
  <c r="F73" i="12"/>
  <c r="F141" i="12"/>
  <c r="F45" i="12"/>
  <c r="F37" i="12"/>
  <c r="F29" i="12"/>
  <c r="F144" i="12"/>
  <c r="F154" i="12"/>
  <c r="F148" i="12"/>
  <c r="F115" i="12"/>
  <c r="F61" i="12"/>
  <c r="F54" i="12"/>
  <c r="F128" i="12"/>
  <c r="H87" i="27"/>
  <c r="N16" i="6"/>
  <c r="H22" i="6"/>
  <c r="L18" i="16"/>
  <c r="D27" i="16"/>
  <c r="T89" i="89"/>
  <c r="T84" i="74"/>
  <c r="V21" i="74"/>
  <c r="F74" i="24"/>
  <c r="F67" i="24"/>
  <c r="F62" i="24"/>
  <c r="F47" i="24"/>
  <c r="F42" i="24"/>
  <c r="F35" i="24"/>
  <c r="F27" i="24"/>
  <c r="F19" i="24"/>
  <c r="F78" i="24"/>
  <c r="F70" i="24"/>
  <c r="F58" i="24"/>
  <c r="F53" i="24"/>
  <c r="F46" i="24"/>
  <c r="F34" i="24"/>
  <c r="F26" i="24"/>
  <c r="F86" i="24"/>
  <c r="F80" i="24"/>
  <c r="F76" i="24"/>
  <c r="F72" i="24"/>
  <c r="F60" i="24"/>
  <c r="F55" i="24"/>
  <c r="F52" i="24"/>
  <c r="F44" i="24"/>
  <c r="F40" i="24"/>
  <c r="F24" i="24"/>
  <c r="F75" i="24"/>
  <c r="F66" i="24"/>
  <c r="F63" i="24"/>
  <c r="F51" i="24"/>
  <c r="F43" i="24"/>
  <c r="F39" i="24"/>
  <c r="F23" i="24"/>
  <c r="F18" i="24"/>
  <c r="F57" i="24"/>
  <c r="F54" i="24"/>
  <c r="F50" i="24"/>
  <c r="F38" i="24"/>
  <c r="F33" i="24"/>
  <c r="F22" i="24"/>
  <c r="F68" i="24"/>
  <c r="F65" i="24"/>
  <c r="F49" i="24"/>
  <c r="F37" i="24"/>
  <c r="F30" i="24"/>
  <c r="F21" i="24"/>
  <c r="F36" i="24"/>
  <c r="F32" i="24"/>
  <c r="F69" i="24"/>
  <c r="F64" i="24"/>
  <c r="F56" i="24"/>
  <c r="F48" i="24"/>
  <c r="F45" i="24"/>
  <c r="F79" i="24"/>
  <c r="F41" i="24"/>
  <c r="F28" i="24"/>
  <c r="L12" i="24"/>
  <c r="N12" i="24" s="1"/>
  <c r="F25" i="24"/>
  <c r="F77" i="24"/>
  <c r="D30" i="24"/>
  <c r="F20" i="24"/>
  <c r="F82" i="24"/>
  <c r="F73" i="24"/>
  <c r="F71" i="24"/>
  <c r="F61" i="24"/>
  <c r="F59" i="24"/>
  <c r="T91" i="24"/>
  <c r="V88" i="24"/>
  <c r="H95" i="9"/>
  <c r="N16" i="9"/>
  <c r="T27" i="93"/>
  <c r="Z18" i="93"/>
  <c r="X75" i="92"/>
  <c r="P79" i="92"/>
  <c r="N16" i="78"/>
  <c r="H26" i="78"/>
  <c r="P32" i="73"/>
  <c r="L16" i="61"/>
  <c r="D57" i="61"/>
  <c r="T79" i="69"/>
  <c r="V31" i="69"/>
  <c r="P27" i="50"/>
  <c r="X18" i="50"/>
  <c r="T106" i="42"/>
  <c r="V24" i="42"/>
  <c r="L18" i="46"/>
  <c r="N27" i="17"/>
  <c r="H31" i="17"/>
  <c r="H184" i="3"/>
  <c r="L18" i="93"/>
  <c r="D27" i="93"/>
  <c r="R29" i="73"/>
  <c r="T89" i="75"/>
  <c r="Z24" i="75"/>
  <c r="T87" i="65"/>
  <c r="H106" i="42"/>
  <c r="J24" i="42"/>
  <c r="F76" i="90"/>
  <c r="F72" i="90"/>
  <c r="F82" i="90"/>
  <c r="F75" i="90"/>
  <c r="F71" i="90"/>
  <c r="F80" i="90"/>
  <c r="F85" i="90"/>
  <c r="F83" i="90"/>
  <c r="F64" i="90"/>
  <c r="F61" i="90"/>
  <c r="F56" i="90"/>
  <c r="F53" i="90"/>
  <c r="F48" i="90"/>
  <c r="F41" i="90"/>
  <c r="F29" i="90"/>
  <c r="D23" i="90"/>
  <c r="F21" i="90"/>
  <c r="F87" i="90"/>
  <c r="F84" i="90"/>
  <c r="F81" i="90"/>
  <c r="F70" i="90"/>
  <c r="F40" i="90"/>
  <c r="F36" i="90"/>
  <c r="F28" i="90"/>
  <c r="F20" i="90"/>
  <c r="L12" i="90"/>
  <c r="N12" i="90" s="1"/>
  <c r="F91" i="90"/>
  <c r="F74" i="90"/>
  <c r="F69" i="90"/>
  <c r="F46" i="90"/>
  <c r="F38" i="90"/>
  <c r="F34" i="90"/>
  <c r="F25" i="90"/>
  <c r="F55" i="90"/>
  <c r="F23" i="90"/>
  <c r="F78" i="90"/>
  <c r="F42" i="90"/>
  <c r="F30" i="90"/>
  <c r="F79" i="90"/>
  <c r="F73" i="90"/>
  <c r="F68" i="90"/>
  <c r="F67" i="90"/>
  <c r="F65" i="90"/>
  <c r="F54" i="90"/>
  <c r="F52" i="90"/>
  <c r="F51" i="90"/>
  <c r="F49" i="90"/>
  <c r="F44" i="90"/>
  <c r="F43" i="90"/>
  <c r="F31" i="90"/>
  <c r="F63" i="90"/>
  <c r="F60" i="90"/>
  <c r="F59" i="90"/>
  <c r="F39" i="90"/>
  <c r="F18" i="90"/>
  <c r="F66" i="90"/>
  <c r="F27" i="90"/>
  <c r="F26" i="90"/>
  <c r="F62" i="90"/>
  <c r="F47" i="90"/>
  <c r="F35" i="90"/>
  <c r="F57" i="90"/>
  <c r="F32" i="90"/>
  <c r="F45" i="90"/>
  <c r="F37" i="90"/>
  <c r="F77" i="90"/>
  <c r="F50" i="90"/>
  <c r="F33" i="90"/>
  <c r="F58" i="90"/>
  <c r="F19" i="90"/>
  <c r="P89" i="89"/>
  <c r="X23" i="89"/>
  <c r="Z23" i="89" s="1"/>
  <c r="P43" i="87"/>
  <c r="H36" i="87"/>
  <c r="N18" i="87"/>
  <c r="V23" i="77"/>
  <c r="Z16" i="80"/>
  <c r="T30" i="80"/>
  <c r="L16" i="79"/>
  <c r="D73" i="79"/>
  <c r="T96" i="83"/>
  <c r="J23" i="77"/>
  <c r="L16" i="80"/>
  <c r="D30" i="80"/>
  <c r="L19" i="71"/>
  <c r="N19" i="71" s="1"/>
  <c r="D71" i="71"/>
  <c r="P33" i="78"/>
  <c r="P30" i="76"/>
  <c r="X22" i="76"/>
  <c r="Z22" i="76" s="1"/>
  <c r="F61" i="68"/>
  <c r="F57" i="68"/>
  <c r="F54" i="68"/>
  <c r="F38" i="68"/>
  <c r="F34" i="68"/>
  <c r="F26" i="68"/>
  <c r="F68" i="68"/>
  <c r="F53" i="68"/>
  <c r="F48" i="68"/>
  <c r="F45" i="68"/>
  <c r="F37" i="68"/>
  <c r="F33" i="68"/>
  <c r="F24" i="68"/>
  <c r="F76" i="68"/>
  <c r="F63" i="68"/>
  <c r="F60" i="68"/>
  <c r="F56" i="68"/>
  <c r="F44" i="68"/>
  <c r="F36" i="68"/>
  <c r="F32" i="68"/>
  <c r="F19" i="68"/>
  <c r="F67" i="68"/>
  <c r="F59" i="68"/>
  <c r="F50" i="68"/>
  <c r="F47" i="68"/>
  <c r="F43" i="68"/>
  <c r="F31" i="68"/>
  <c r="F71" i="68"/>
  <c r="F66" i="68"/>
  <c r="F62" i="68"/>
  <c r="F58" i="68"/>
  <c r="F42" i="68"/>
  <c r="F30" i="68"/>
  <c r="F25" i="68"/>
  <c r="L12" i="68"/>
  <c r="N12" i="68" s="1"/>
  <c r="F69" i="68"/>
  <c r="F65" i="68"/>
  <c r="F52" i="68"/>
  <c r="F49" i="68"/>
  <c r="F41" i="68"/>
  <c r="F29" i="68"/>
  <c r="F22" i="68"/>
  <c r="F64" i="68"/>
  <c r="F55" i="68"/>
  <c r="F40" i="68"/>
  <c r="F35" i="68"/>
  <c r="F28" i="68"/>
  <c r="D22" i="68"/>
  <c r="F20" i="68"/>
  <c r="F39" i="68"/>
  <c r="F27" i="68"/>
  <c r="F72" i="68"/>
  <c r="F51" i="68"/>
  <c r="F46" i="68"/>
  <c r="D28" i="72"/>
  <c r="P71" i="71"/>
  <c r="X19" i="71"/>
  <c r="P31" i="64"/>
  <c r="X16" i="64"/>
  <c r="X57" i="61"/>
  <c r="Z57" i="61" s="1"/>
  <c r="J31" i="51"/>
  <c r="H79" i="51"/>
  <c r="H64" i="59"/>
  <c r="P74" i="58"/>
  <c r="X16" i="58"/>
  <c r="H31" i="55"/>
  <c r="N16" i="55"/>
  <c r="P79" i="51"/>
  <c r="X31" i="51"/>
  <c r="H81" i="58"/>
  <c r="X18" i="38"/>
  <c r="P27" i="38"/>
  <c r="L18" i="47"/>
  <c r="D27" i="47"/>
  <c r="J40" i="30"/>
  <c r="T91" i="27"/>
  <c r="R75" i="24"/>
  <c r="R68" i="24"/>
  <c r="R63" i="24"/>
  <c r="R51" i="24"/>
  <c r="R43" i="24"/>
  <c r="R39" i="24"/>
  <c r="R23" i="24"/>
  <c r="R79" i="24"/>
  <c r="R71" i="24"/>
  <c r="R59" i="24"/>
  <c r="R54" i="24"/>
  <c r="R50" i="24"/>
  <c r="R38" i="24"/>
  <c r="P30" i="24"/>
  <c r="R22" i="24"/>
  <c r="R56" i="24"/>
  <c r="R53" i="24"/>
  <c r="R48" i="24"/>
  <c r="R36" i="24"/>
  <c r="R28" i="24"/>
  <c r="R20" i="24"/>
  <c r="X12" i="24"/>
  <c r="Z12" i="24" s="1"/>
  <c r="R82" i="24"/>
  <c r="R67" i="24"/>
  <c r="R64" i="24"/>
  <c r="R47" i="24"/>
  <c r="R35" i="24"/>
  <c r="R32" i="24"/>
  <c r="R27" i="24"/>
  <c r="R19" i="24"/>
  <c r="R78" i="24"/>
  <c r="R70" i="24"/>
  <c r="R58" i="24"/>
  <c r="R55" i="24"/>
  <c r="R46" i="24"/>
  <c r="R34" i="24"/>
  <c r="R26" i="24"/>
  <c r="R77" i="24"/>
  <c r="R73" i="24"/>
  <c r="R69" i="24"/>
  <c r="R66" i="24"/>
  <c r="R61" i="24"/>
  <c r="R45" i="24"/>
  <c r="R41" i="24"/>
  <c r="R25" i="24"/>
  <c r="R18" i="24"/>
  <c r="R86" i="24"/>
  <c r="R80" i="24"/>
  <c r="R49" i="24"/>
  <c r="R37" i="24"/>
  <c r="R72" i="24"/>
  <c r="R60" i="24"/>
  <c r="R42" i="24"/>
  <c r="R21" i="24"/>
  <c r="R74" i="24"/>
  <c r="R62" i="24"/>
  <c r="R44" i="24"/>
  <c r="R33" i="24"/>
  <c r="R57" i="24"/>
  <c r="R52" i="24"/>
  <c r="R40" i="24"/>
  <c r="R24" i="24"/>
  <c r="R76" i="24"/>
  <c r="R65" i="24"/>
  <c r="X18" i="22"/>
  <c r="P27" i="22"/>
  <c r="L18" i="17"/>
  <c r="D27" i="17"/>
  <c r="D31" i="35"/>
  <c r="P27" i="35"/>
  <c r="X18" i="35"/>
  <c r="L18" i="29"/>
  <c r="D27" i="29"/>
  <c r="F83" i="27"/>
  <c r="F81" i="27"/>
  <c r="F76" i="27"/>
  <c r="F48" i="27"/>
  <c r="F44" i="27"/>
  <c r="F36" i="27"/>
  <c r="F28" i="27"/>
  <c r="F20" i="27"/>
  <c r="F79" i="27"/>
  <c r="F75" i="27"/>
  <c r="F66" i="27"/>
  <c r="F63" i="27"/>
  <c r="F58" i="27"/>
  <c r="F55" i="27"/>
  <c r="F47" i="27"/>
  <c r="F43" i="27"/>
  <c r="F35" i="27"/>
  <c r="F27" i="27"/>
  <c r="F82" i="27"/>
  <c r="F72" i="27"/>
  <c r="F68" i="27"/>
  <c r="F65" i="27"/>
  <c r="F60" i="27"/>
  <c r="F57" i="27"/>
  <c r="F53" i="27"/>
  <c r="F41" i="27"/>
  <c r="F25" i="27"/>
  <c r="F52" i="27"/>
  <c r="F40" i="27"/>
  <c r="F24" i="27"/>
  <c r="F19" i="27"/>
  <c r="F89" i="27"/>
  <c r="F84" i="27"/>
  <c r="F74" i="27"/>
  <c r="F71" i="27"/>
  <c r="F67" i="27"/>
  <c r="F62" i="27"/>
  <c r="F59" i="27"/>
  <c r="F51" i="27"/>
  <c r="F39" i="27"/>
  <c r="F34" i="27"/>
  <c r="F23" i="27"/>
  <c r="F77" i="27"/>
  <c r="F70" i="27"/>
  <c r="F50" i="27"/>
  <c r="F45" i="27"/>
  <c r="F38" i="27"/>
  <c r="F31" i="27"/>
  <c r="F22" i="27"/>
  <c r="L12" i="27"/>
  <c r="N12" i="27" s="1"/>
  <c r="F42" i="27"/>
  <c r="F29" i="27"/>
  <c r="F85" i="27"/>
  <c r="F78" i="27"/>
  <c r="F61" i="27"/>
  <c r="F56" i="27"/>
  <c r="D31" i="27"/>
  <c r="F21" i="27"/>
  <c r="F26" i="27"/>
  <c r="F49" i="27"/>
  <c r="F46" i="27"/>
  <c r="F37" i="27"/>
  <c r="F73" i="27"/>
  <c r="F64" i="27"/>
  <c r="F69" i="27"/>
  <c r="F54" i="27"/>
  <c r="F33" i="27"/>
  <c r="Z27" i="28"/>
  <c r="T31" i="28"/>
  <c r="F71" i="33"/>
  <c r="L18" i="8"/>
  <c r="D27" i="8"/>
  <c r="N27" i="28"/>
  <c r="H31" i="28"/>
  <c r="N18" i="23"/>
  <c r="H27" i="23"/>
  <c r="H27" i="16"/>
  <c r="N18" i="16"/>
  <c r="H27" i="11"/>
  <c r="N18" i="11"/>
  <c r="X18" i="5"/>
  <c r="P27" i="5"/>
  <c r="P27" i="7"/>
  <c r="X18" i="7"/>
  <c r="P31" i="4"/>
  <c r="Z16" i="85"/>
  <c r="T51" i="85"/>
  <c r="X51" i="85" s="1"/>
  <c r="F109" i="67"/>
  <c r="F104" i="67"/>
  <c r="F102" i="67"/>
  <c r="F72" i="67"/>
  <c r="F69" i="67"/>
  <c r="F64" i="67"/>
  <c r="F57" i="67"/>
  <c r="F45" i="67"/>
  <c r="F37" i="67"/>
  <c r="F29" i="67"/>
  <c r="F21" i="67"/>
  <c r="F100" i="67"/>
  <c r="F83" i="67"/>
  <c r="F80" i="67"/>
  <c r="F56" i="67"/>
  <c r="F52" i="67"/>
  <c r="F44" i="67"/>
  <c r="F36" i="67"/>
  <c r="F28" i="67"/>
  <c r="F20" i="67"/>
  <c r="F90" i="67"/>
  <c r="F86" i="67"/>
  <c r="F74" i="67"/>
  <c r="F71" i="67"/>
  <c r="F66" i="67"/>
  <c r="F63" i="67"/>
  <c r="F55" i="67"/>
  <c r="F51" i="67"/>
  <c r="F42" i="67"/>
  <c r="F35" i="67"/>
  <c r="F27" i="67"/>
  <c r="F103" i="67"/>
  <c r="F97" i="67"/>
  <c r="F93" i="67"/>
  <c r="F82" i="67"/>
  <c r="F77" i="67"/>
  <c r="F62" i="67"/>
  <c r="F54" i="67"/>
  <c r="F50" i="67"/>
  <c r="F34" i="67"/>
  <c r="F26" i="67"/>
  <c r="F105" i="67"/>
  <c r="F99" i="67"/>
  <c r="F96" i="67"/>
  <c r="F92" i="67"/>
  <c r="F88" i="67"/>
  <c r="F84" i="67"/>
  <c r="F79" i="67"/>
  <c r="F76" i="67"/>
  <c r="F60" i="67"/>
  <c r="F48" i="67"/>
  <c r="F43" i="67"/>
  <c r="F32" i="67"/>
  <c r="F24" i="67"/>
  <c r="F19" i="67"/>
  <c r="F95" i="67"/>
  <c r="F91" i="67"/>
  <c r="F87" i="67"/>
  <c r="F75" i="67"/>
  <c r="F70" i="67"/>
  <c r="F67" i="67"/>
  <c r="F59" i="67"/>
  <c r="F47" i="67"/>
  <c r="F31" i="67"/>
  <c r="F23" i="67"/>
  <c r="F73" i="67"/>
  <c r="F30" i="67"/>
  <c r="L12" i="67"/>
  <c r="N12" i="67" s="1"/>
  <c r="F81" i="67"/>
  <c r="F25" i="67"/>
  <c r="F98" i="67"/>
  <c r="F68" i="67"/>
  <c r="F53" i="67"/>
  <c r="F49" i="67"/>
  <c r="F46" i="67"/>
  <c r="F78" i="67"/>
  <c r="F38" i="67"/>
  <c r="F22" i="67"/>
  <c r="F65" i="67"/>
  <c r="F61" i="67"/>
  <c r="F58" i="67"/>
  <c r="F33" i="67"/>
  <c r="F85" i="67"/>
  <c r="D40" i="67"/>
  <c r="F94" i="67"/>
  <c r="F89" i="67"/>
  <c r="D74" i="58"/>
  <c r="L16" i="58"/>
  <c r="T70" i="56"/>
  <c r="Z16" i="56"/>
  <c r="L18" i="43"/>
  <c r="D27" i="43"/>
  <c r="Z18" i="43"/>
  <c r="T27" i="43"/>
  <c r="H27" i="25"/>
  <c r="L27" i="25" s="1"/>
  <c r="N18" i="25"/>
  <c r="X18" i="19"/>
  <c r="P27" i="19"/>
  <c r="Z18" i="16"/>
  <c r="T27" i="16"/>
  <c r="X27" i="16" s="1"/>
  <c r="H27" i="95"/>
  <c r="N18" i="95"/>
  <c r="F78" i="89"/>
  <c r="F74" i="89"/>
  <c r="F84" i="89"/>
  <c r="F77" i="89"/>
  <c r="F83" i="89"/>
  <c r="F85" i="89"/>
  <c r="F64" i="89"/>
  <c r="F61" i="89"/>
  <c r="F56" i="89"/>
  <c r="F53" i="89"/>
  <c r="F87" i="89"/>
  <c r="F76" i="89"/>
  <c r="F91" i="89"/>
  <c r="F70" i="89"/>
  <c r="F66" i="89"/>
  <c r="F63" i="89"/>
  <c r="F58" i="89"/>
  <c r="F55" i="89"/>
  <c r="F50" i="89"/>
  <c r="F73" i="89"/>
  <c r="F48" i="89"/>
  <c r="F41" i="89"/>
  <c r="F29" i="89"/>
  <c r="D23" i="89"/>
  <c r="F21" i="89"/>
  <c r="F60" i="89"/>
  <c r="F52" i="89"/>
  <c r="F40" i="89"/>
  <c r="F36" i="89"/>
  <c r="F28" i="89"/>
  <c r="F20" i="89"/>
  <c r="L12" i="89"/>
  <c r="N12" i="89" s="1"/>
  <c r="F79" i="89"/>
  <c r="F59" i="89"/>
  <c r="F51" i="89"/>
  <c r="F47" i="89"/>
  <c r="F39" i="89"/>
  <c r="F35" i="89"/>
  <c r="F27" i="89"/>
  <c r="F19" i="89"/>
  <c r="F75" i="89"/>
  <c r="F67" i="89"/>
  <c r="F65" i="89"/>
  <c r="F57" i="89"/>
  <c r="F46" i="89"/>
  <c r="F38" i="89"/>
  <c r="F34" i="89"/>
  <c r="F25" i="89"/>
  <c r="F80" i="89"/>
  <c r="F68" i="89"/>
  <c r="F49" i="89"/>
  <c r="F45" i="89"/>
  <c r="F33" i="89"/>
  <c r="F71" i="89"/>
  <c r="F69" i="89"/>
  <c r="F44" i="89"/>
  <c r="F32" i="89"/>
  <c r="F82" i="89"/>
  <c r="F37" i="89"/>
  <c r="F23" i="89"/>
  <c r="F30" i="89"/>
  <c r="F18" i="89"/>
  <c r="F72" i="89"/>
  <c r="F31" i="89"/>
  <c r="F42" i="89"/>
  <c r="F26" i="89"/>
  <c r="F54" i="89"/>
  <c r="F43" i="89"/>
  <c r="F81" i="89"/>
  <c r="F62" i="89"/>
  <c r="H93" i="89"/>
  <c r="P30" i="86"/>
  <c r="T87" i="84"/>
  <c r="D26" i="78"/>
  <c r="L16" i="78"/>
  <c r="H34" i="76"/>
  <c r="P100" i="62"/>
  <c r="H88" i="63"/>
  <c r="H74" i="33"/>
  <c r="J22" i="33"/>
  <c r="L18" i="38"/>
  <c r="D27" i="38"/>
  <c r="D74" i="33"/>
  <c r="L22" i="33"/>
  <c r="N22" i="33" s="1"/>
  <c r="P36" i="8"/>
  <c r="H155" i="15"/>
  <c r="D22" i="6"/>
  <c r="L16" i="6"/>
  <c r="H27" i="4"/>
  <c r="N18" i="4"/>
  <c r="H107" i="67"/>
  <c r="J40" i="67"/>
  <c r="V31" i="65"/>
  <c r="X16" i="60"/>
  <c r="P58" i="60"/>
  <c r="T27" i="53"/>
  <c r="Z18" i="53"/>
  <c r="H27" i="94"/>
  <c r="N18" i="94"/>
  <c r="R72" i="92"/>
  <c r="T79" i="92"/>
  <c r="Z75" i="92"/>
  <c r="V23" i="90"/>
  <c r="T89" i="90"/>
  <c r="X18" i="93"/>
  <c r="P27" i="93"/>
  <c r="H51" i="85"/>
  <c r="N16" i="85"/>
  <c r="H77" i="79"/>
  <c r="H87" i="84"/>
  <c r="J30" i="76"/>
  <c r="X16" i="80"/>
  <c r="H84" i="74"/>
  <c r="F23" i="73"/>
  <c r="F27" i="73"/>
  <c r="D19" i="73"/>
  <c r="F19" i="73" s="1"/>
  <c r="F17" i="73"/>
  <c r="L12" i="73"/>
  <c r="N12" i="73" s="1"/>
  <c r="F21" i="73"/>
  <c r="F16" i="73"/>
  <c r="H75" i="71"/>
  <c r="X21" i="74"/>
  <c r="Z21" i="74" s="1"/>
  <c r="P84" i="74"/>
  <c r="H96" i="75"/>
  <c r="F79" i="63"/>
  <c r="F71" i="63"/>
  <c r="F59" i="63"/>
  <c r="F56" i="63"/>
  <c r="F48" i="63"/>
  <c r="F36" i="63"/>
  <c r="D30" i="63"/>
  <c r="F28" i="63"/>
  <c r="F20" i="63"/>
  <c r="L12" i="63"/>
  <c r="N12" i="63" s="1"/>
  <c r="F74" i="63"/>
  <c r="F67" i="63"/>
  <c r="F62" i="63"/>
  <c r="F47" i="63"/>
  <c r="F42" i="63"/>
  <c r="F35" i="63"/>
  <c r="F27" i="63"/>
  <c r="F19" i="63"/>
  <c r="F78" i="63"/>
  <c r="F70" i="63"/>
  <c r="F58" i="63"/>
  <c r="F53" i="63"/>
  <c r="F46" i="63"/>
  <c r="F34" i="63"/>
  <c r="F26" i="63"/>
  <c r="F82" i="63"/>
  <c r="F77" i="63"/>
  <c r="F73" i="63"/>
  <c r="F69" i="63"/>
  <c r="F64" i="63"/>
  <c r="F61" i="63"/>
  <c r="F45" i="63"/>
  <c r="F41" i="63"/>
  <c r="F32" i="63"/>
  <c r="F25" i="63"/>
  <c r="F86" i="63"/>
  <c r="F80" i="63"/>
  <c r="F76" i="63"/>
  <c r="F72" i="63"/>
  <c r="F60" i="63"/>
  <c r="F55" i="63"/>
  <c r="F52" i="63"/>
  <c r="F44" i="63"/>
  <c r="F40" i="63"/>
  <c r="F24" i="63"/>
  <c r="F75" i="63"/>
  <c r="F66" i="63"/>
  <c r="F63" i="63"/>
  <c r="F51" i="63"/>
  <c r="F43" i="63"/>
  <c r="F39" i="63"/>
  <c r="F23" i="63"/>
  <c r="F18" i="63"/>
  <c r="F68" i="63"/>
  <c r="F57" i="63"/>
  <c r="F49" i="63"/>
  <c r="F30" i="63"/>
  <c r="F65" i="63"/>
  <c r="F54" i="63"/>
  <c r="F50" i="63"/>
  <c r="F38" i="63"/>
  <c r="F21" i="63"/>
  <c r="F22" i="63"/>
  <c r="F33" i="63"/>
  <c r="F37" i="63"/>
  <c r="R86" i="63"/>
  <c r="R80" i="63"/>
  <c r="R76" i="63"/>
  <c r="R72" i="63"/>
  <c r="R60" i="63"/>
  <c r="R57" i="63"/>
  <c r="R52" i="63"/>
  <c r="R44" i="63"/>
  <c r="R40" i="63"/>
  <c r="R33" i="63"/>
  <c r="R24" i="63"/>
  <c r="R75" i="63"/>
  <c r="R68" i="63"/>
  <c r="R63" i="63"/>
  <c r="R51" i="63"/>
  <c r="R43" i="63"/>
  <c r="R39" i="63"/>
  <c r="R23" i="63"/>
  <c r="R79" i="63"/>
  <c r="R71" i="63"/>
  <c r="R59" i="63"/>
  <c r="R54" i="63"/>
  <c r="R50" i="63"/>
  <c r="R38" i="63"/>
  <c r="P30" i="63"/>
  <c r="R22" i="63"/>
  <c r="R74" i="63"/>
  <c r="R65" i="63"/>
  <c r="R62" i="63"/>
  <c r="R49" i="63"/>
  <c r="R42" i="63"/>
  <c r="R37" i="63"/>
  <c r="R21" i="63"/>
  <c r="R56" i="63"/>
  <c r="R53" i="63"/>
  <c r="R48" i="63"/>
  <c r="R36" i="63"/>
  <c r="R28" i="63"/>
  <c r="R20" i="63"/>
  <c r="X12" i="63"/>
  <c r="Z12" i="63" s="1"/>
  <c r="R82" i="63"/>
  <c r="R67" i="63"/>
  <c r="R64" i="63"/>
  <c r="R47" i="63"/>
  <c r="R35" i="63"/>
  <c r="R32" i="63"/>
  <c r="R27" i="63"/>
  <c r="R19" i="63"/>
  <c r="R66" i="63"/>
  <c r="R58" i="63"/>
  <c r="R55" i="63"/>
  <c r="R77" i="63"/>
  <c r="R73" i="63"/>
  <c r="R61" i="63"/>
  <c r="R78" i="63"/>
  <c r="R34" i="63"/>
  <c r="R25" i="63"/>
  <c r="R69" i="63"/>
  <c r="R45" i="63"/>
  <c r="R26" i="63"/>
  <c r="R70" i="63"/>
  <c r="R46" i="63"/>
  <c r="R41" i="63"/>
  <c r="R18" i="63"/>
  <c r="T35" i="64"/>
  <c r="H65" i="57"/>
  <c r="N16" i="57"/>
  <c r="D70" i="56"/>
  <c r="L16" i="56"/>
  <c r="H61" i="61"/>
  <c r="P64" i="61"/>
  <c r="D31" i="54"/>
  <c r="P27" i="46"/>
  <c r="X18" i="46"/>
  <c r="P27" i="52"/>
  <c r="X18" i="52"/>
  <c r="D69" i="57"/>
  <c r="L65" i="57"/>
  <c r="P27" i="44"/>
  <c r="X18" i="44"/>
  <c r="T116" i="39"/>
  <c r="X18" i="43"/>
  <c r="P27" i="43"/>
  <c r="T27" i="29"/>
  <c r="Z18" i="29"/>
  <c r="P36" i="41"/>
  <c r="T27" i="26"/>
  <c r="Z18" i="26"/>
  <c r="R115" i="30"/>
  <c r="R108" i="30"/>
  <c r="R87" i="30"/>
  <c r="R84" i="30"/>
  <c r="R79" i="30"/>
  <c r="R117" i="30"/>
  <c r="R105" i="30"/>
  <c r="R97" i="30"/>
  <c r="R93" i="30"/>
  <c r="R89" i="30"/>
  <c r="R86" i="30"/>
  <c r="R81" i="30"/>
  <c r="R92" i="30"/>
  <c r="R62" i="30"/>
  <c r="R54" i="30"/>
  <c r="R50" i="30"/>
  <c r="R43" i="30"/>
  <c r="R34" i="30"/>
  <c r="R26" i="30"/>
  <c r="R19" i="30"/>
  <c r="R94" i="30"/>
  <c r="R91" i="30"/>
  <c r="R73" i="30"/>
  <c r="R70" i="30"/>
  <c r="R65" i="30"/>
  <c r="R61" i="30"/>
  <c r="R49" i="30"/>
  <c r="R33" i="30"/>
  <c r="R25" i="30"/>
  <c r="R114" i="30"/>
  <c r="R103" i="30"/>
  <c r="R102" i="30"/>
  <c r="R90" i="30"/>
  <c r="R88" i="30"/>
  <c r="R80" i="30"/>
  <c r="R75" i="30"/>
  <c r="R72" i="30"/>
  <c r="R67" i="30"/>
  <c r="R64" i="30"/>
  <c r="R59" i="30"/>
  <c r="R47" i="30"/>
  <c r="R31" i="30"/>
  <c r="R23" i="30"/>
  <c r="R112" i="30"/>
  <c r="R111" i="30"/>
  <c r="R101" i="30"/>
  <c r="R78" i="30"/>
  <c r="R58" i="30"/>
  <c r="R46" i="30"/>
  <c r="R38" i="30"/>
  <c r="R30" i="30"/>
  <c r="R22" i="30"/>
  <c r="X12" i="30"/>
  <c r="Z12" i="30" s="1"/>
  <c r="R100" i="30"/>
  <c r="R74" i="30"/>
  <c r="R69" i="30"/>
  <c r="R66" i="30"/>
  <c r="R57" i="30"/>
  <c r="R45" i="30"/>
  <c r="R42" i="30"/>
  <c r="R37" i="30"/>
  <c r="R29" i="30"/>
  <c r="R21" i="30"/>
  <c r="R99" i="30"/>
  <c r="R98" i="30"/>
  <c r="R96" i="30"/>
  <c r="R77" i="30"/>
  <c r="R56" i="30"/>
  <c r="R52" i="30"/>
  <c r="R44" i="30"/>
  <c r="R36" i="30"/>
  <c r="R28" i="30"/>
  <c r="R20" i="30"/>
  <c r="R55" i="30"/>
  <c r="R51" i="30"/>
  <c r="R24" i="30"/>
  <c r="R48" i="30"/>
  <c r="R107" i="30"/>
  <c r="R104" i="30"/>
  <c r="R83" i="30"/>
  <c r="R71" i="30"/>
  <c r="R35" i="30"/>
  <c r="R116" i="30"/>
  <c r="R76" i="30"/>
  <c r="R68" i="30"/>
  <c r="R63" i="30"/>
  <c r="R121" i="30"/>
  <c r="R109" i="30"/>
  <c r="R85" i="30"/>
  <c r="R60" i="30"/>
  <c r="R53" i="30"/>
  <c r="P40" i="30"/>
  <c r="R32" i="30"/>
  <c r="R27" i="30"/>
  <c r="R106" i="30"/>
  <c r="R110" i="30"/>
  <c r="R95" i="30"/>
  <c r="R82" i="30"/>
  <c r="H159" i="18"/>
  <c r="T27" i="20"/>
  <c r="Z18" i="20"/>
  <c r="R63" i="33"/>
  <c r="R54" i="33"/>
  <c r="R38" i="33"/>
  <c r="R34" i="33"/>
  <c r="R26" i="33"/>
  <c r="R19" i="33"/>
  <c r="R53" i="33"/>
  <c r="R50" i="33"/>
  <c r="R45" i="33"/>
  <c r="R37" i="33"/>
  <c r="R33" i="33"/>
  <c r="R67" i="33"/>
  <c r="R59" i="33"/>
  <c r="R52" i="33"/>
  <c r="R47" i="33"/>
  <c r="R43" i="33"/>
  <c r="R31" i="33"/>
  <c r="R66" i="33"/>
  <c r="R62" i="33"/>
  <c r="R58" i="33"/>
  <c r="R55" i="33"/>
  <c r="R42" i="33"/>
  <c r="R35" i="33"/>
  <c r="R30" i="33"/>
  <c r="P22" i="33"/>
  <c r="X12" i="33"/>
  <c r="Z12" i="33" s="1"/>
  <c r="R69" i="33"/>
  <c r="R65" i="33"/>
  <c r="R49" i="33"/>
  <c r="R46" i="33"/>
  <c r="R41" i="33"/>
  <c r="R29" i="33"/>
  <c r="R56" i="33"/>
  <c r="R48" i="33"/>
  <c r="R24" i="33"/>
  <c r="R61" i="33"/>
  <c r="R25" i="33"/>
  <c r="R60" i="33"/>
  <c r="R68" i="33"/>
  <c r="R20" i="33"/>
  <c r="R64" i="33"/>
  <c r="R51" i="33"/>
  <c r="R44" i="33"/>
  <c r="R57" i="33"/>
  <c r="R40" i="33"/>
  <c r="R39" i="33"/>
  <c r="R28" i="33"/>
  <c r="R27" i="33"/>
  <c r="R76" i="33"/>
  <c r="R36" i="33"/>
  <c r="R71" i="33"/>
  <c r="R32" i="33"/>
  <c r="R72" i="33"/>
  <c r="P27" i="17"/>
  <c r="X18" i="17"/>
  <c r="D31" i="25"/>
  <c r="T158" i="12"/>
  <c r="V54" i="12"/>
  <c r="T27" i="4"/>
  <c r="Z18" i="4"/>
  <c r="P31" i="13"/>
  <c r="L40" i="30"/>
  <c r="N40" i="30" s="1"/>
  <c r="D119" i="30"/>
  <c r="P159" i="18"/>
  <c r="X56" i="18"/>
  <c r="P27" i="14"/>
  <c r="X18" i="14"/>
  <c r="X18" i="4"/>
  <c r="T27" i="95"/>
  <c r="Z18" i="95"/>
  <c r="P55" i="85"/>
  <c r="R81" i="83"/>
  <c r="R76" i="83"/>
  <c r="R68" i="83"/>
  <c r="R53" i="83"/>
  <c r="R48" i="83"/>
  <c r="R44" i="83"/>
  <c r="R32" i="83"/>
  <c r="R87" i="83"/>
  <c r="R84" i="83"/>
  <c r="R75" i="83"/>
  <c r="R72" i="83"/>
  <c r="R64" i="83"/>
  <c r="R59" i="83"/>
  <c r="R56" i="83"/>
  <c r="R43" i="83"/>
  <c r="R36" i="83"/>
  <c r="R31" i="83"/>
  <c r="P23" i="83"/>
  <c r="R23" i="83" s="1"/>
  <c r="R90" i="83"/>
  <c r="R67" i="83"/>
  <c r="R50" i="83"/>
  <c r="R47" i="83"/>
  <c r="R42" i="83"/>
  <c r="R30" i="83"/>
  <c r="R86" i="83"/>
  <c r="R74" i="83"/>
  <c r="R61" i="83"/>
  <c r="R58" i="83"/>
  <c r="R41" i="83"/>
  <c r="R29" i="83"/>
  <c r="R21" i="83"/>
  <c r="R80" i="83"/>
  <c r="R52" i="83"/>
  <c r="R49" i="83"/>
  <c r="R40" i="83"/>
  <c r="R28" i="83"/>
  <c r="R25" i="83"/>
  <c r="R20" i="83"/>
  <c r="X12" i="83"/>
  <c r="Z12" i="83" s="1"/>
  <c r="R83" i="83"/>
  <c r="R79" i="83"/>
  <c r="R71" i="83"/>
  <c r="R63" i="83"/>
  <c r="R60" i="83"/>
  <c r="R55" i="83"/>
  <c r="R39" i="83"/>
  <c r="R35" i="83"/>
  <c r="R27" i="83"/>
  <c r="R19" i="83"/>
  <c r="R94" i="83"/>
  <c r="R89" i="83"/>
  <c r="R82" i="83"/>
  <c r="R78" i="83"/>
  <c r="R70" i="83"/>
  <c r="R66" i="83"/>
  <c r="R54" i="83"/>
  <c r="R51" i="83"/>
  <c r="R46" i="83"/>
  <c r="R38" i="83"/>
  <c r="R34" i="83"/>
  <c r="R69" i="83"/>
  <c r="R33" i="83"/>
  <c r="R62" i="83"/>
  <c r="R45" i="83"/>
  <c r="R85" i="83"/>
  <c r="R65" i="83"/>
  <c r="R18" i="83"/>
  <c r="R73" i="83"/>
  <c r="R37" i="83"/>
  <c r="R77" i="83"/>
  <c r="R26" i="83"/>
  <c r="R57" i="83"/>
  <c r="H27" i="41"/>
  <c r="N18" i="41"/>
  <c r="F114" i="30"/>
  <c r="R84" i="77"/>
  <c r="R81" i="77"/>
  <c r="R76" i="77"/>
  <c r="R68" i="77"/>
  <c r="R64" i="77"/>
  <c r="R52" i="77"/>
  <c r="R49" i="77"/>
  <c r="R40" i="77"/>
  <c r="R28" i="77"/>
  <c r="R25" i="77"/>
  <c r="R20" i="77"/>
  <c r="X12" i="77"/>
  <c r="Z12" i="77" s="1"/>
  <c r="R75" i="77"/>
  <c r="R71" i="77"/>
  <c r="R67" i="77"/>
  <c r="R63" i="77"/>
  <c r="R60" i="77"/>
  <c r="R55" i="77"/>
  <c r="R39" i="77"/>
  <c r="R35" i="77"/>
  <c r="R27" i="77"/>
  <c r="R19" i="77"/>
  <c r="R92" i="77"/>
  <c r="R86" i="77"/>
  <c r="R83" i="77"/>
  <c r="R74" i="77"/>
  <c r="R66" i="77"/>
  <c r="R54" i="77"/>
  <c r="R51" i="77"/>
  <c r="R46" i="77"/>
  <c r="R38" i="77"/>
  <c r="R34" i="77"/>
  <c r="R73" i="77"/>
  <c r="R70" i="77"/>
  <c r="R62" i="77"/>
  <c r="R57" i="77"/>
  <c r="R45" i="77"/>
  <c r="R37" i="77"/>
  <c r="R33" i="77"/>
  <c r="R26" i="77"/>
  <c r="R18" i="77"/>
  <c r="R85" i="77"/>
  <c r="R80" i="77"/>
  <c r="R65" i="77"/>
  <c r="R53" i="77"/>
  <c r="R48" i="77"/>
  <c r="R44" i="77"/>
  <c r="R82" i="77"/>
  <c r="R78" i="77"/>
  <c r="R50" i="77"/>
  <c r="R47" i="77"/>
  <c r="R42" i="77"/>
  <c r="R30" i="77"/>
  <c r="R43" i="77"/>
  <c r="R36" i="77"/>
  <c r="R69" i="77"/>
  <c r="R56" i="77"/>
  <c r="R32" i="77"/>
  <c r="R31" i="77"/>
  <c r="P23" i="77"/>
  <c r="R79" i="77"/>
  <c r="R41" i="77"/>
  <c r="R29" i="77"/>
  <c r="R61" i="77"/>
  <c r="R88" i="77"/>
  <c r="R58" i="77"/>
  <c r="R72" i="77"/>
  <c r="R59" i="77"/>
  <c r="R21" i="77"/>
  <c r="R77" i="77"/>
  <c r="D64" i="59"/>
  <c r="L60" i="59"/>
  <c r="N60" i="59" s="1"/>
  <c r="N27" i="40"/>
  <c r="H31" i="40"/>
  <c r="R98" i="39"/>
  <c r="R94" i="39"/>
  <c r="R86" i="39"/>
  <c r="R83" i="39"/>
  <c r="R78" i="39"/>
  <c r="R54" i="39"/>
  <c r="R51" i="39"/>
  <c r="R42" i="39"/>
  <c r="R106" i="39"/>
  <c r="R100" i="39"/>
  <c r="R92" i="39"/>
  <c r="R85" i="39"/>
  <c r="R77" i="39"/>
  <c r="R56" i="39"/>
  <c r="R53" i="39"/>
  <c r="R48" i="39"/>
  <c r="R40" i="39"/>
  <c r="R36" i="39"/>
  <c r="R111" i="39"/>
  <c r="R96" i="39"/>
  <c r="R91" i="39"/>
  <c r="R67" i="39"/>
  <c r="R64" i="39"/>
  <c r="R59" i="39"/>
  <c r="R47" i="39"/>
  <c r="R39" i="39"/>
  <c r="R35" i="39"/>
  <c r="R28" i="39"/>
  <c r="R102" i="39"/>
  <c r="R99" i="39"/>
  <c r="R90" i="39"/>
  <c r="R82" i="39"/>
  <c r="R55" i="39"/>
  <c r="R50" i="39"/>
  <c r="R46" i="39"/>
  <c r="R105" i="39"/>
  <c r="R89" i="39"/>
  <c r="R81" i="39"/>
  <c r="R73" i="39"/>
  <c r="R69" i="39"/>
  <c r="R66" i="39"/>
  <c r="R61" i="39"/>
  <c r="R58" i="39"/>
  <c r="R45" i="39"/>
  <c r="R38" i="39"/>
  <c r="R101" i="39"/>
  <c r="R88" i="39"/>
  <c r="R84" i="39"/>
  <c r="R80" i="39"/>
  <c r="R76" i="39"/>
  <c r="R72" i="39"/>
  <c r="R52" i="39"/>
  <c r="R49" i="39"/>
  <c r="R44" i="39"/>
  <c r="R32" i="39"/>
  <c r="R37" i="39"/>
  <c r="R41" i="39"/>
  <c r="R33" i="39"/>
  <c r="R27" i="39"/>
  <c r="R104" i="39"/>
  <c r="R68" i="39"/>
  <c r="R34" i="39"/>
  <c r="X12" i="39"/>
  <c r="Z12" i="39" s="1"/>
  <c r="R60" i="39"/>
  <c r="R107" i="39"/>
  <c r="R95" i="39"/>
  <c r="R75" i="39"/>
  <c r="R74" i="39"/>
  <c r="R30" i="39"/>
  <c r="R29" i="39"/>
  <c r="P25" i="39"/>
  <c r="R25" i="39" s="1"/>
  <c r="R97" i="39"/>
  <c r="R87" i="39"/>
  <c r="R71" i="39"/>
  <c r="R70" i="39"/>
  <c r="R23" i="39"/>
  <c r="R22" i="39"/>
  <c r="R63" i="39"/>
  <c r="R62" i="39"/>
  <c r="R21" i="39"/>
  <c r="R57" i="39"/>
  <c r="R31" i="39"/>
  <c r="R20" i="39"/>
  <c r="R79" i="39"/>
  <c r="R65" i="39"/>
  <c r="R93" i="39"/>
  <c r="R43" i="39"/>
  <c r="P27" i="31"/>
  <c r="X18" i="31"/>
  <c r="T38" i="55"/>
  <c r="V23" i="89"/>
  <c r="D28" i="81"/>
  <c r="L16" i="81"/>
  <c r="F75" i="51"/>
  <c r="F54" i="51"/>
  <c r="F46" i="51"/>
  <c r="F42" i="51"/>
  <c r="F33" i="51"/>
  <c r="F26" i="51"/>
  <c r="F68" i="51"/>
  <c r="F65" i="51"/>
  <c r="F60" i="51"/>
  <c r="F57" i="51"/>
  <c r="F53" i="51"/>
  <c r="F41" i="51"/>
  <c r="F25" i="51"/>
  <c r="F67" i="51"/>
  <c r="F62" i="51"/>
  <c r="F59" i="51"/>
  <c r="F51" i="51"/>
  <c r="F39" i="51"/>
  <c r="F34" i="51"/>
  <c r="F23" i="51"/>
  <c r="F70" i="51"/>
  <c r="F50" i="51"/>
  <c r="F45" i="51"/>
  <c r="F38" i="51"/>
  <c r="F22" i="51"/>
  <c r="L12" i="51"/>
  <c r="N12" i="51" s="1"/>
  <c r="F81" i="51"/>
  <c r="F76" i="51"/>
  <c r="F74" i="51"/>
  <c r="F69" i="51"/>
  <c r="F64" i="51"/>
  <c r="F61" i="51"/>
  <c r="F56" i="51"/>
  <c r="F49" i="51"/>
  <c r="F37" i="51"/>
  <c r="D31" i="51"/>
  <c r="F31" i="51" s="1"/>
  <c r="F29" i="51"/>
  <c r="F21" i="51"/>
  <c r="F72" i="51"/>
  <c r="F48" i="51"/>
  <c r="F44" i="51"/>
  <c r="F36" i="51"/>
  <c r="F28" i="51"/>
  <c r="F20" i="51"/>
  <c r="F66" i="51"/>
  <c r="F47" i="51"/>
  <c r="F43" i="51"/>
  <c r="F40" i="51"/>
  <c r="F35" i="51"/>
  <c r="F52" i="51"/>
  <c r="F71" i="51"/>
  <c r="F55" i="51"/>
  <c r="F27" i="51"/>
  <c r="F19" i="51"/>
  <c r="F24" i="51"/>
  <c r="F58" i="51"/>
  <c r="F77" i="51"/>
  <c r="F63" i="51"/>
  <c r="D27" i="40"/>
  <c r="L18" i="40"/>
  <c r="Z16" i="86"/>
  <c r="T26" i="86"/>
  <c r="X26" i="86" s="1"/>
  <c r="F80" i="83"/>
  <c r="F67" i="83"/>
  <c r="F52" i="83"/>
  <c r="F47" i="83"/>
  <c r="F40" i="83"/>
  <c r="F28" i="83"/>
  <c r="F20" i="83"/>
  <c r="L12" i="83"/>
  <c r="N12" i="83" s="1"/>
  <c r="F86" i="83"/>
  <c r="F83" i="83"/>
  <c r="F79" i="83"/>
  <c r="F74" i="83"/>
  <c r="F71" i="83"/>
  <c r="F63" i="83"/>
  <c r="F58" i="83"/>
  <c r="F55" i="83"/>
  <c r="F39" i="83"/>
  <c r="F35" i="83"/>
  <c r="F27" i="83"/>
  <c r="F19" i="83"/>
  <c r="F94" i="83"/>
  <c r="F82" i="83"/>
  <c r="F78" i="83"/>
  <c r="F70" i="83"/>
  <c r="F66" i="83"/>
  <c r="F54" i="83"/>
  <c r="F49" i="83"/>
  <c r="F46" i="83"/>
  <c r="F38" i="83"/>
  <c r="F34" i="83"/>
  <c r="F25" i="83"/>
  <c r="F85" i="83"/>
  <c r="F77" i="83"/>
  <c r="F73" i="83"/>
  <c r="F69" i="83"/>
  <c r="F65" i="83"/>
  <c r="F60" i="83"/>
  <c r="F57" i="83"/>
  <c r="F45" i="83"/>
  <c r="F37" i="83"/>
  <c r="F33" i="83"/>
  <c r="F89" i="83"/>
  <c r="F76" i="83"/>
  <c r="F68" i="83"/>
  <c r="F51" i="83"/>
  <c r="F48" i="83"/>
  <c r="F44" i="83"/>
  <c r="F32" i="83"/>
  <c r="F87" i="83"/>
  <c r="F75" i="83"/>
  <c r="F62" i="83"/>
  <c r="F59" i="83"/>
  <c r="F43" i="83"/>
  <c r="F31" i="83"/>
  <c r="F26" i="83"/>
  <c r="F18" i="83"/>
  <c r="F81" i="83"/>
  <c r="F53" i="83"/>
  <c r="F50" i="83"/>
  <c r="F42" i="83"/>
  <c r="F30" i="83"/>
  <c r="F56" i="83"/>
  <c r="F61" i="83"/>
  <c r="F41" i="83"/>
  <c r="F29" i="83"/>
  <c r="D23" i="83"/>
  <c r="F64" i="83"/>
  <c r="F84" i="83"/>
  <c r="F72" i="83"/>
  <c r="F36" i="83"/>
  <c r="F90" i="83"/>
  <c r="F21" i="83"/>
  <c r="F31" i="87"/>
  <c r="F28" i="87"/>
  <c r="F23" i="87"/>
  <c r="D18" i="87"/>
  <c r="F16" i="87"/>
  <c r="F30" i="87"/>
  <c r="F25" i="87"/>
  <c r="F22" i="87"/>
  <c r="L12" i="87"/>
  <c r="F38" i="87"/>
  <c r="F32" i="87"/>
  <c r="F27" i="87"/>
  <c r="F24" i="87"/>
  <c r="F15" i="87"/>
  <c r="F29" i="87"/>
  <c r="F26" i="87"/>
  <c r="F21" i="87"/>
  <c r="F20" i="87"/>
  <c r="F34" i="87"/>
  <c r="X30" i="80"/>
  <c r="P34" i="80"/>
  <c r="H32" i="81"/>
  <c r="H29" i="73"/>
  <c r="L22" i="76"/>
  <c r="N22" i="76" s="1"/>
  <c r="D30" i="76"/>
  <c r="Z19" i="71"/>
  <c r="T71" i="71"/>
  <c r="V19" i="71"/>
  <c r="Z16" i="79"/>
  <c r="T73" i="79"/>
  <c r="R52" i="69"/>
  <c r="R45" i="69"/>
  <c r="R40" i="69"/>
  <c r="R24" i="69"/>
  <c r="R74" i="69"/>
  <c r="R67" i="69"/>
  <c r="R64" i="69"/>
  <c r="R59" i="69"/>
  <c r="R56" i="69"/>
  <c r="R51" i="69"/>
  <c r="R39" i="69"/>
  <c r="P31" i="69"/>
  <c r="R23" i="69"/>
  <c r="R76" i="69"/>
  <c r="R70" i="69"/>
  <c r="R50" i="69"/>
  <c r="R38" i="69"/>
  <c r="R22" i="69"/>
  <c r="X12" i="69"/>
  <c r="Z12" i="69" s="1"/>
  <c r="R81" i="69"/>
  <c r="R69" i="69"/>
  <c r="R66" i="69"/>
  <c r="R61" i="69"/>
  <c r="R58" i="69"/>
  <c r="R49" i="69"/>
  <c r="R37" i="69"/>
  <c r="R29" i="69"/>
  <c r="R72" i="69"/>
  <c r="R48" i="69"/>
  <c r="R44" i="69"/>
  <c r="R36" i="69"/>
  <c r="R33" i="69"/>
  <c r="R28" i="69"/>
  <c r="R20" i="69"/>
  <c r="R75" i="69"/>
  <c r="R68" i="69"/>
  <c r="R63" i="69"/>
  <c r="R60" i="69"/>
  <c r="R55" i="69"/>
  <c r="R47" i="69"/>
  <c r="R43" i="69"/>
  <c r="R35" i="69"/>
  <c r="R27" i="69"/>
  <c r="R57" i="69"/>
  <c r="R46" i="69"/>
  <c r="R19" i="69"/>
  <c r="R71" i="69"/>
  <c r="R25" i="69"/>
  <c r="R53" i="69"/>
  <c r="R26" i="69"/>
  <c r="R21" i="69"/>
  <c r="R54" i="69"/>
  <c r="R41" i="69"/>
  <c r="R77" i="69"/>
  <c r="R42" i="69"/>
  <c r="R65" i="69"/>
  <c r="R62" i="69"/>
  <c r="R34" i="69"/>
  <c r="V22" i="68"/>
  <c r="T74" i="68"/>
  <c r="T100" i="62"/>
  <c r="Z17" i="62"/>
  <c r="V40" i="67"/>
  <c r="P74" i="68"/>
  <c r="X22" i="68"/>
  <c r="Z22" i="68" s="1"/>
  <c r="P87" i="65"/>
  <c r="X31" i="65"/>
  <c r="Z31" i="65" s="1"/>
  <c r="N17" i="62"/>
  <c r="H100" i="62"/>
  <c r="T27" i="50"/>
  <c r="Z18" i="50"/>
  <c r="H27" i="47"/>
  <c r="N18" i="47"/>
  <c r="X16" i="57"/>
  <c r="P65" i="57"/>
  <c r="X16" i="56"/>
  <c r="L18" i="53"/>
  <c r="D27" i="53"/>
  <c r="L17" i="48"/>
  <c r="N17" i="48" s="1"/>
  <c r="D75" i="48"/>
  <c r="P31" i="49"/>
  <c r="T27" i="47"/>
  <c r="Z18" i="47"/>
  <c r="H116" i="36"/>
  <c r="J25" i="36"/>
  <c r="R104" i="42"/>
  <c r="R92" i="42"/>
  <c r="R84" i="42"/>
  <c r="R81" i="42"/>
  <c r="R76" i="42"/>
  <c r="R73" i="42"/>
  <c r="R69" i="42"/>
  <c r="R64" i="42"/>
  <c r="R61" i="42"/>
  <c r="R56" i="42"/>
  <c r="R40" i="42"/>
  <c r="R36" i="42"/>
  <c r="R28" i="42"/>
  <c r="R20" i="42"/>
  <c r="R101" i="42"/>
  <c r="R94" i="42"/>
  <c r="R90" i="42"/>
  <c r="R83" i="42"/>
  <c r="R75" i="42"/>
  <c r="R66" i="42"/>
  <c r="R63" i="42"/>
  <c r="R58" i="42"/>
  <c r="R46" i="42"/>
  <c r="R38" i="42"/>
  <c r="R34" i="42"/>
  <c r="R27" i="42"/>
  <c r="R19" i="42"/>
  <c r="R103" i="42"/>
  <c r="R97" i="42"/>
  <c r="R89" i="42"/>
  <c r="R54" i="42"/>
  <c r="R49" i="42"/>
  <c r="R45" i="42"/>
  <c r="R33" i="42"/>
  <c r="R108" i="42"/>
  <c r="R93" i="42"/>
  <c r="R88" i="42"/>
  <c r="R80" i="42"/>
  <c r="R72" i="42"/>
  <c r="R68" i="42"/>
  <c r="R65" i="42"/>
  <c r="R60" i="42"/>
  <c r="R57" i="42"/>
  <c r="R44" i="42"/>
  <c r="R37" i="42"/>
  <c r="R32" i="42"/>
  <c r="P24" i="42"/>
  <c r="R24" i="42" s="1"/>
  <c r="R99" i="42"/>
  <c r="R96" i="42"/>
  <c r="R87" i="42"/>
  <c r="R79" i="42"/>
  <c r="R71" i="42"/>
  <c r="R51" i="42"/>
  <c r="R48" i="42"/>
  <c r="R43" i="42"/>
  <c r="R31" i="42"/>
  <c r="R102" i="42"/>
  <c r="R86" i="42"/>
  <c r="R82" i="42"/>
  <c r="R78" i="42"/>
  <c r="R74" i="42"/>
  <c r="R70" i="42"/>
  <c r="R67" i="42"/>
  <c r="R62" i="42"/>
  <c r="R59" i="42"/>
  <c r="R42" i="42"/>
  <c r="R30" i="42"/>
  <c r="R22" i="42"/>
  <c r="X12" i="42"/>
  <c r="Z12" i="42" s="1"/>
  <c r="R98" i="42"/>
  <c r="R50" i="42"/>
  <c r="R35" i="42"/>
  <c r="R29" i="42"/>
  <c r="R26" i="42"/>
  <c r="R39" i="42"/>
  <c r="R21" i="42"/>
  <c r="R91" i="42"/>
  <c r="R85" i="42"/>
  <c r="R95" i="42"/>
  <c r="R52" i="42"/>
  <c r="R55" i="42"/>
  <c r="R47" i="42"/>
  <c r="R77" i="42"/>
  <c r="R53" i="42"/>
  <c r="R41" i="42"/>
  <c r="Z18" i="41"/>
  <c r="T27" i="41"/>
  <c r="T119" i="30"/>
  <c r="V40" i="30"/>
  <c r="H27" i="38"/>
  <c r="N18" i="38"/>
  <c r="H109" i="39"/>
  <c r="D31" i="37"/>
  <c r="X25" i="36"/>
  <c r="Z25" i="36" s="1"/>
  <c r="P116" i="36"/>
  <c r="R25" i="36"/>
  <c r="D27" i="26"/>
  <c r="L18" i="26"/>
  <c r="N27" i="35"/>
  <c r="T36" i="44"/>
  <c r="Z36" i="44" s="1"/>
  <c r="Z31" i="44"/>
  <c r="T31" i="32"/>
  <c r="Z27" i="32"/>
  <c r="H27" i="13"/>
  <c r="N18" i="13"/>
  <c r="L18" i="25"/>
  <c r="F81" i="21"/>
  <c r="F77" i="21"/>
  <c r="F73" i="21"/>
  <c r="F69" i="21"/>
  <c r="F65" i="21"/>
  <c r="F60" i="21"/>
  <c r="F57" i="21"/>
  <c r="F45" i="21"/>
  <c r="F37" i="21"/>
  <c r="F33" i="21"/>
  <c r="F84" i="21"/>
  <c r="F76" i="21"/>
  <c r="F72" i="21"/>
  <c r="F51" i="21"/>
  <c r="F48" i="21"/>
  <c r="F44" i="21"/>
  <c r="F32" i="21"/>
  <c r="F88" i="21"/>
  <c r="F75" i="21"/>
  <c r="F71" i="21"/>
  <c r="F62" i="21"/>
  <c r="F59" i="21"/>
  <c r="F43" i="21"/>
  <c r="F31" i="21"/>
  <c r="F26" i="21"/>
  <c r="F18" i="21"/>
  <c r="F92" i="21"/>
  <c r="F86" i="21"/>
  <c r="F53" i="21"/>
  <c r="F50" i="21"/>
  <c r="F42" i="21"/>
  <c r="F30" i="21"/>
  <c r="F23" i="21"/>
  <c r="F80" i="21"/>
  <c r="F68" i="21"/>
  <c r="F64" i="21"/>
  <c r="F61" i="21"/>
  <c r="F56" i="21"/>
  <c r="F41" i="21"/>
  <c r="F36" i="21"/>
  <c r="F29" i="21"/>
  <c r="D23" i="21"/>
  <c r="F21" i="21"/>
  <c r="F83" i="21"/>
  <c r="F52" i="21"/>
  <c r="F47" i="21"/>
  <c r="F40" i="21"/>
  <c r="F28" i="21"/>
  <c r="F20" i="21"/>
  <c r="L12" i="21"/>
  <c r="N12" i="21" s="1"/>
  <c r="F74" i="21"/>
  <c r="F35" i="21"/>
  <c r="F25" i="21"/>
  <c r="F78" i="21"/>
  <c r="F54" i="21"/>
  <c r="F27" i="21"/>
  <c r="F19" i="21"/>
  <c r="F79" i="21"/>
  <c r="F58" i="21"/>
  <c r="F55" i="21"/>
  <c r="F49" i="21"/>
  <c r="F82" i="21"/>
  <c r="F66" i="21"/>
  <c r="F63" i="21"/>
  <c r="F70" i="21"/>
  <c r="F67" i="21"/>
  <c r="F46" i="21"/>
  <c r="F38" i="21"/>
  <c r="F39" i="21"/>
  <c r="F85" i="21"/>
  <c r="F34" i="21"/>
  <c r="X18" i="11"/>
  <c r="P27" i="11"/>
  <c r="T27" i="13"/>
  <c r="Z18" i="13"/>
  <c r="L18" i="4"/>
  <c r="D27" i="4"/>
  <c r="L27" i="7"/>
  <c r="D31" i="7"/>
  <c r="Z27" i="10"/>
  <c r="T31" i="10"/>
  <c r="Z27" i="7"/>
  <c r="T31" i="7"/>
  <c r="Z27" i="5"/>
  <c r="T31" i="5"/>
  <c r="H31" i="7"/>
  <c r="N27" i="7"/>
  <c r="T175" i="3"/>
  <c r="R177" i="3"/>
  <c r="R169" i="3"/>
  <c r="R163" i="3"/>
  <c r="R159" i="3"/>
  <c r="R156" i="3"/>
  <c r="R147" i="3"/>
  <c r="R128" i="3"/>
  <c r="R107" i="3"/>
  <c r="R95" i="3"/>
  <c r="R79" i="3"/>
  <c r="R75" i="3"/>
  <c r="R67" i="3"/>
  <c r="R64" i="3"/>
  <c r="R59" i="3"/>
  <c r="R51" i="3"/>
  <c r="R43" i="3"/>
  <c r="R35" i="3"/>
  <c r="R27" i="3"/>
  <c r="R58" i="3"/>
  <c r="R50" i="3"/>
  <c r="R42" i="3"/>
  <c r="R34" i="3"/>
  <c r="R26" i="3"/>
  <c r="X12" i="3"/>
  <c r="Z12" i="3" s="1"/>
  <c r="R173" i="3"/>
  <c r="R151" i="3"/>
  <c r="R131" i="3"/>
  <c r="R55" i="3"/>
  <c r="R172" i="3"/>
  <c r="R116" i="3"/>
  <c r="R92" i="3"/>
  <c r="R89" i="3"/>
  <c r="R181" i="3"/>
  <c r="R166" i="3"/>
  <c r="R146" i="3"/>
  <c r="R138" i="3"/>
  <c r="R123" i="3"/>
  <c r="R118" i="3"/>
  <c r="R115" i="3"/>
  <c r="R110" i="3"/>
  <c r="R106" i="3"/>
  <c r="R103" i="3"/>
  <c r="R98" i="3"/>
  <c r="R94" i="3"/>
  <c r="R91" i="3"/>
  <c r="R86" i="3"/>
  <c r="R78" i="3"/>
  <c r="R74" i="3"/>
  <c r="R66" i="3"/>
  <c r="R155" i="3"/>
  <c r="R76" i="3"/>
  <c r="R133" i="3"/>
  <c r="R68" i="3"/>
  <c r="R171" i="3"/>
  <c r="R162" i="3"/>
  <c r="R158" i="3"/>
  <c r="R145" i="3"/>
  <c r="R141" i="3"/>
  <c r="R137" i="3"/>
  <c r="R109" i="3"/>
  <c r="R97" i="3"/>
  <c r="R85" i="3"/>
  <c r="R77" i="3"/>
  <c r="R73" i="3"/>
  <c r="R57" i="3"/>
  <c r="R49" i="3"/>
  <c r="R41" i="3"/>
  <c r="R33" i="3"/>
  <c r="R127" i="3"/>
  <c r="R108" i="3"/>
  <c r="R83" i="3"/>
  <c r="R71" i="3"/>
  <c r="R47" i="3"/>
  <c r="R148" i="3"/>
  <c r="R124" i="3"/>
  <c r="R60" i="3"/>
  <c r="R44" i="3"/>
  <c r="R168" i="3"/>
  <c r="R152" i="3"/>
  <c r="R144" i="3"/>
  <c r="R140" i="3"/>
  <c r="R136" i="3"/>
  <c r="R132" i="3"/>
  <c r="R120" i="3"/>
  <c r="R117" i="3"/>
  <c r="R112" i="3"/>
  <c r="R105" i="3"/>
  <c r="R100" i="3"/>
  <c r="R93" i="3"/>
  <c r="R88" i="3"/>
  <c r="R84" i="3"/>
  <c r="R72" i="3"/>
  <c r="R65" i="3"/>
  <c r="R56" i="3"/>
  <c r="R48" i="3"/>
  <c r="R40" i="3"/>
  <c r="R32" i="3"/>
  <c r="R25" i="3"/>
  <c r="R143" i="3"/>
  <c r="R135" i="3"/>
  <c r="R96" i="3"/>
  <c r="R39" i="3"/>
  <c r="R31" i="3"/>
  <c r="R113" i="3"/>
  <c r="R101" i="3"/>
  <c r="R182" i="3"/>
  <c r="R170" i="3"/>
  <c r="R165" i="3"/>
  <c r="R154" i="3"/>
  <c r="R150" i="3"/>
  <c r="R139" i="3"/>
  <c r="R134" i="3"/>
  <c r="R130" i="3"/>
  <c r="R126" i="3"/>
  <c r="R122" i="3"/>
  <c r="R119" i="3"/>
  <c r="R114" i="3"/>
  <c r="R111" i="3"/>
  <c r="R102" i="3"/>
  <c r="R99" i="3"/>
  <c r="R90" i="3"/>
  <c r="R87" i="3"/>
  <c r="R82" i="3"/>
  <c r="R70" i="3"/>
  <c r="P62" i="3"/>
  <c r="R54" i="3"/>
  <c r="R46" i="3"/>
  <c r="R38" i="3"/>
  <c r="R30" i="3"/>
  <c r="R121" i="3"/>
  <c r="R167" i="3"/>
  <c r="R161" i="3"/>
  <c r="R157" i="3"/>
  <c r="R149" i="3"/>
  <c r="R142" i="3"/>
  <c r="R129" i="3"/>
  <c r="R125" i="3"/>
  <c r="R81" i="3"/>
  <c r="R69" i="3"/>
  <c r="R53" i="3"/>
  <c r="R45" i="3"/>
  <c r="R37" i="3"/>
  <c r="R29" i="3"/>
  <c r="R160" i="3"/>
  <c r="R153" i="3"/>
  <c r="R104" i="3"/>
  <c r="R80" i="3"/>
  <c r="R52" i="3"/>
  <c r="R36" i="3"/>
  <c r="R28" i="3"/>
  <c r="P31" i="16"/>
  <c r="D26" i="82"/>
  <c r="L16" i="82"/>
  <c r="H78" i="68"/>
  <c r="P79" i="48"/>
  <c r="X75" i="48"/>
  <c r="H26" i="54"/>
  <c r="N22" i="54"/>
  <c r="H27" i="29"/>
  <c r="N18" i="29"/>
  <c r="Z16" i="9"/>
  <c r="T95" i="9"/>
  <c r="H90" i="21"/>
  <c r="T22" i="6"/>
  <c r="Z16" i="6"/>
  <c r="H31" i="10"/>
  <c r="N27" i="10"/>
  <c r="P26" i="82"/>
  <c r="X16" i="82"/>
  <c r="T28" i="81"/>
  <c r="Z16" i="81"/>
  <c r="H79" i="69"/>
  <c r="D35" i="64"/>
  <c r="L31" i="64"/>
  <c r="X18" i="47"/>
  <c r="P27" i="47"/>
  <c r="D109" i="39"/>
  <c r="L25" i="39"/>
  <c r="N25" i="39" s="1"/>
  <c r="P36" i="29"/>
  <c r="H158" i="12"/>
  <c r="F90" i="91"/>
  <c r="F77" i="91"/>
  <c r="F73" i="91"/>
  <c r="F69" i="91"/>
  <c r="F65" i="91"/>
  <c r="F60" i="91"/>
  <c r="F57" i="91"/>
  <c r="F52" i="91"/>
  <c r="F49" i="91"/>
  <c r="F45" i="91"/>
  <c r="F71" i="91"/>
  <c r="F67" i="91"/>
  <c r="F62" i="91"/>
  <c r="F59" i="91"/>
  <c r="F54" i="91"/>
  <c r="F51" i="91"/>
  <c r="F43" i="91"/>
  <c r="F85" i="91"/>
  <c r="F82" i="91"/>
  <c r="F42" i="91"/>
  <c r="F83" i="91"/>
  <c r="F39" i="91"/>
  <c r="F31" i="91"/>
  <c r="F26" i="91"/>
  <c r="F18" i="91"/>
  <c r="F72" i="91"/>
  <c r="F70" i="91"/>
  <c r="F68" i="91"/>
  <c r="F41" i="91"/>
  <c r="F40" i="91"/>
  <c r="F37" i="91"/>
  <c r="F30" i="91"/>
  <c r="F58" i="91"/>
  <c r="F56" i="91"/>
  <c r="F55" i="91"/>
  <c r="F53" i="91"/>
  <c r="F44" i="91"/>
  <c r="F35" i="91"/>
  <c r="F27" i="91"/>
  <c r="F19" i="91"/>
  <c r="F78" i="91"/>
  <c r="F61" i="91"/>
  <c r="F50" i="91"/>
  <c r="L12" i="91"/>
  <c r="N12" i="91" s="1"/>
  <c r="F84" i="91"/>
  <c r="F74" i="91"/>
  <c r="F38" i="91"/>
  <c r="F36" i="91"/>
  <c r="F28" i="91"/>
  <c r="F79" i="91"/>
  <c r="F63" i="91"/>
  <c r="F29" i="91"/>
  <c r="F21" i="91"/>
  <c r="F87" i="91"/>
  <c r="F20" i="91"/>
  <c r="F76" i="91"/>
  <c r="F64" i="91"/>
  <c r="F94" i="91"/>
  <c r="F88" i="91"/>
  <c r="F48" i="91"/>
  <c r="F46" i="91"/>
  <c r="F47" i="91"/>
  <c r="F33" i="91"/>
  <c r="F32" i="91"/>
  <c r="D23" i="91"/>
  <c r="F80" i="91"/>
  <c r="F34" i="91"/>
  <c r="F75" i="91"/>
  <c r="F86" i="91"/>
  <c r="F81" i="91"/>
  <c r="F66" i="91"/>
  <c r="F25" i="91"/>
  <c r="H66" i="88"/>
  <c r="R82" i="84"/>
  <c r="R79" i="84"/>
  <c r="R70" i="84"/>
  <c r="R66" i="84"/>
  <c r="R62" i="84"/>
  <c r="R58" i="84"/>
  <c r="R55" i="84"/>
  <c r="R50" i="84"/>
  <c r="R38" i="84"/>
  <c r="R26" i="84"/>
  <c r="R18" i="84"/>
  <c r="R85" i="84"/>
  <c r="R69" i="84"/>
  <c r="R61" i="84"/>
  <c r="R49" i="84"/>
  <c r="R46" i="84"/>
  <c r="R37" i="84"/>
  <c r="R25" i="84"/>
  <c r="R22" i="84"/>
  <c r="R17" i="84"/>
  <c r="R91" i="84"/>
  <c r="R81" i="84"/>
  <c r="R68" i="84"/>
  <c r="R65" i="84"/>
  <c r="R57" i="84"/>
  <c r="R52" i="84"/>
  <c r="R36" i="84"/>
  <c r="R32" i="84"/>
  <c r="R24" i="84"/>
  <c r="X12" i="84"/>
  <c r="Z12" i="84" s="1"/>
  <c r="R75" i="84"/>
  <c r="R60" i="84"/>
  <c r="R48" i="84"/>
  <c r="R43" i="84"/>
  <c r="R35" i="84"/>
  <c r="R31" i="84"/>
  <c r="R16" i="84"/>
  <c r="R78" i="84"/>
  <c r="R74" i="84"/>
  <c r="R67" i="84"/>
  <c r="R54" i="84"/>
  <c r="R51" i="84"/>
  <c r="R42" i="84"/>
  <c r="R34" i="84"/>
  <c r="R30" i="84"/>
  <c r="R23" i="84"/>
  <c r="R89" i="84"/>
  <c r="R84" i="84"/>
  <c r="R77" i="84"/>
  <c r="R73" i="84"/>
  <c r="R45" i="84"/>
  <c r="R41" i="84"/>
  <c r="R29" i="84"/>
  <c r="R20" i="84"/>
  <c r="R94" i="84"/>
  <c r="R87" i="84"/>
  <c r="R80" i="84"/>
  <c r="R72" i="84"/>
  <c r="R64" i="84"/>
  <c r="R56" i="84"/>
  <c r="R53" i="84"/>
  <c r="R40" i="84"/>
  <c r="R33" i="84"/>
  <c r="R28" i="84"/>
  <c r="P20" i="84"/>
  <c r="R47" i="84"/>
  <c r="R39" i="84"/>
  <c r="R27" i="84"/>
  <c r="R76" i="84"/>
  <c r="R44" i="84"/>
  <c r="R63" i="84"/>
  <c r="R59" i="84"/>
  <c r="R71" i="84"/>
  <c r="Z19" i="73"/>
  <c r="T25" i="73"/>
  <c r="T27" i="52"/>
  <c r="Z18" i="52"/>
  <c r="T99" i="91"/>
  <c r="D75" i="92"/>
  <c r="L17" i="92"/>
  <c r="N17" i="92" s="1"/>
  <c r="Z27" i="94"/>
  <c r="T31" i="94"/>
  <c r="H89" i="90"/>
  <c r="P59" i="88"/>
  <c r="X16" i="88"/>
  <c r="T36" i="87"/>
  <c r="Z18" i="87"/>
  <c r="X18" i="87"/>
  <c r="D66" i="88"/>
  <c r="L63" i="88"/>
  <c r="N63" i="88" s="1"/>
  <c r="D51" i="85"/>
  <c r="L16" i="85"/>
  <c r="N16" i="80"/>
  <c r="H30" i="80"/>
  <c r="P28" i="81"/>
  <c r="X16" i="81"/>
  <c r="D90" i="77"/>
  <c r="L23" i="77"/>
  <c r="N23" i="77" s="1"/>
  <c r="F84" i="75"/>
  <c r="F77" i="75"/>
  <c r="F73" i="75"/>
  <c r="F64" i="75"/>
  <c r="F61" i="75"/>
  <c r="F56" i="75"/>
  <c r="F53" i="75"/>
  <c r="F48" i="75"/>
  <c r="F41" i="75"/>
  <c r="F29" i="75"/>
  <c r="F21" i="75"/>
  <c r="F80" i="75"/>
  <c r="F76" i="75"/>
  <c r="F40" i="75"/>
  <c r="F36" i="75"/>
  <c r="F28" i="75"/>
  <c r="F20" i="75"/>
  <c r="L12" i="75"/>
  <c r="N12" i="75" s="1"/>
  <c r="F83" i="75"/>
  <c r="F66" i="75"/>
  <c r="F63" i="75"/>
  <c r="F58" i="75"/>
  <c r="F55" i="75"/>
  <c r="F50" i="75"/>
  <c r="F47" i="75"/>
  <c r="F39" i="75"/>
  <c r="F35" i="75"/>
  <c r="F26" i="75"/>
  <c r="F19" i="75"/>
  <c r="F87" i="75"/>
  <c r="F82" i="75"/>
  <c r="F69" i="75"/>
  <c r="F46" i="75"/>
  <c r="F38" i="75"/>
  <c r="F34" i="75"/>
  <c r="F91" i="75"/>
  <c r="F85" i="75"/>
  <c r="F72" i="75"/>
  <c r="F65" i="75"/>
  <c r="F60" i="75"/>
  <c r="F57" i="75"/>
  <c r="F52" i="75"/>
  <c r="F49" i="75"/>
  <c r="F45" i="75"/>
  <c r="F33" i="75"/>
  <c r="F67" i="75"/>
  <c r="F59" i="75"/>
  <c r="D24" i="75"/>
  <c r="F68" i="75"/>
  <c r="F51" i="75"/>
  <c r="F42" i="75"/>
  <c r="F79" i="75"/>
  <c r="F78" i="75"/>
  <c r="F74" i="75"/>
  <c r="F43" i="75"/>
  <c r="F31" i="75"/>
  <c r="F27" i="75"/>
  <c r="F18" i="75"/>
  <c r="F70" i="75"/>
  <c r="F44" i="75"/>
  <c r="F32" i="75"/>
  <c r="F75" i="75"/>
  <c r="F62" i="75"/>
  <c r="F37" i="75"/>
  <c r="F81" i="75"/>
  <c r="F71" i="75"/>
  <c r="F54" i="75"/>
  <c r="F22" i="75"/>
  <c r="F30" i="75"/>
  <c r="F24" i="75"/>
  <c r="P80" i="79"/>
  <c r="D84" i="74"/>
  <c r="L21" i="74"/>
  <c r="N21" i="74" s="1"/>
  <c r="H24" i="72"/>
  <c r="L24" i="72" s="1"/>
  <c r="N16" i="72"/>
  <c r="H87" i="65"/>
  <c r="J31" i="65"/>
  <c r="F82" i="65"/>
  <c r="F74" i="65"/>
  <c r="F71" i="65"/>
  <c r="F67" i="65"/>
  <c r="F62" i="65"/>
  <c r="F59" i="65"/>
  <c r="F51" i="65"/>
  <c r="F39" i="65"/>
  <c r="F34" i="65"/>
  <c r="F23" i="65"/>
  <c r="F70" i="65"/>
  <c r="F50" i="65"/>
  <c r="F45" i="65"/>
  <c r="F38" i="65"/>
  <c r="F22" i="65"/>
  <c r="L12" i="65"/>
  <c r="N12" i="65" s="1"/>
  <c r="F81" i="65"/>
  <c r="F79" i="65"/>
  <c r="F73" i="65"/>
  <c r="F69" i="65"/>
  <c r="F64" i="65"/>
  <c r="F61" i="65"/>
  <c r="F56" i="65"/>
  <c r="F49" i="65"/>
  <c r="F37" i="65"/>
  <c r="D31" i="65"/>
  <c r="F29" i="65"/>
  <c r="F21" i="65"/>
  <c r="F89" i="65"/>
  <c r="F78" i="65"/>
  <c r="F48" i="65"/>
  <c r="F44" i="65"/>
  <c r="F36" i="65"/>
  <c r="F28" i="65"/>
  <c r="F20" i="65"/>
  <c r="F85" i="65"/>
  <c r="F77" i="65"/>
  <c r="F66" i="65"/>
  <c r="F63" i="65"/>
  <c r="F58" i="65"/>
  <c r="F55" i="65"/>
  <c r="F47" i="65"/>
  <c r="F43" i="65"/>
  <c r="F35" i="65"/>
  <c r="F27" i="65"/>
  <c r="F84" i="65"/>
  <c r="F76" i="65"/>
  <c r="F75" i="65"/>
  <c r="F54" i="65"/>
  <c r="F46" i="65"/>
  <c r="F42" i="65"/>
  <c r="F33" i="65"/>
  <c r="F26" i="65"/>
  <c r="F72" i="65"/>
  <c r="F68" i="65"/>
  <c r="F57" i="65"/>
  <c r="F52" i="65"/>
  <c r="F40" i="65"/>
  <c r="F41" i="65"/>
  <c r="F53" i="65"/>
  <c r="F65" i="65"/>
  <c r="F19" i="65"/>
  <c r="F83" i="65"/>
  <c r="F60" i="65"/>
  <c r="F24" i="65"/>
  <c r="F25" i="65"/>
  <c r="X16" i="85"/>
  <c r="R81" i="65"/>
  <c r="R31" i="65"/>
  <c r="T62" i="60"/>
  <c r="L18" i="50"/>
  <c r="D27" i="50"/>
  <c r="T79" i="51"/>
  <c r="Z31" i="51"/>
  <c r="T74" i="58"/>
  <c r="Z16" i="58"/>
  <c r="X70" i="56"/>
  <c r="P74" i="56"/>
  <c r="H27" i="43"/>
  <c r="N18" i="43"/>
  <c r="L18" i="41"/>
  <c r="D27" i="41"/>
  <c r="D35" i="55"/>
  <c r="L31" i="55"/>
  <c r="F17" i="48"/>
  <c r="X18" i="49"/>
  <c r="T79" i="48"/>
  <c r="Z75" i="48"/>
  <c r="F108" i="42"/>
  <c r="F103" i="42"/>
  <c r="F101" i="42"/>
  <c r="F88" i="42"/>
  <c r="F83" i="42"/>
  <c r="F80" i="42"/>
  <c r="F75" i="42"/>
  <c r="F72" i="42"/>
  <c r="F68" i="42"/>
  <c r="F63" i="42"/>
  <c r="F60" i="42"/>
  <c r="F44" i="42"/>
  <c r="F32" i="42"/>
  <c r="F27" i="42"/>
  <c r="F19" i="42"/>
  <c r="F93" i="42"/>
  <c r="F86" i="42"/>
  <c r="F82" i="42"/>
  <c r="F78" i="42"/>
  <c r="F74" i="42"/>
  <c r="F70" i="42"/>
  <c r="F65" i="42"/>
  <c r="F62" i="42"/>
  <c r="F57" i="42"/>
  <c r="F42" i="42"/>
  <c r="F37" i="42"/>
  <c r="F30" i="42"/>
  <c r="D24" i="42"/>
  <c r="F22" i="42"/>
  <c r="L12" i="42"/>
  <c r="N12" i="42" s="1"/>
  <c r="F102" i="42"/>
  <c r="F96" i="42"/>
  <c r="F85" i="42"/>
  <c r="F77" i="42"/>
  <c r="F53" i="42"/>
  <c r="F48" i="42"/>
  <c r="F41" i="42"/>
  <c r="F29" i="42"/>
  <c r="F21" i="42"/>
  <c r="F92" i="42"/>
  <c r="F84" i="42"/>
  <c r="F76" i="42"/>
  <c r="F67" i="42"/>
  <c r="F64" i="42"/>
  <c r="F59" i="42"/>
  <c r="F56" i="42"/>
  <c r="F40" i="42"/>
  <c r="F36" i="42"/>
  <c r="F28" i="42"/>
  <c r="F20" i="42"/>
  <c r="F104" i="42"/>
  <c r="F98" i="42"/>
  <c r="F95" i="42"/>
  <c r="F91" i="42"/>
  <c r="F55" i="42"/>
  <c r="F50" i="42"/>
  <c r="F47" i="42"/>
  <c r="F39" i="42"/>
  <c r="F35" i="42"/>
  <c r="F26" i="42"/>
  <c r="F94" i="42"/>
  <c r="F90" i="42"/>
  <c r="F81" i="42"/>
  <c r="F73" i="42"/>
  <c r="F69" i="42"/>
  <c r="F66" i="42"/>
  <c r="F61" i="42"/>
  <c r="F58" i="42"/>
  <c r="F46" i="42"/>
  <c r="F38" i="42"/>
  <c r="F34" i="42"/>
  <c r="F89" i="42"/>
  <c r="F71" i="42"/>
  <c r="F52" i="42"/>
  <c r="F24" i="42"/>
  <c r="F97" i="42"/>
  <c r="F87" i="42"/>
  <c r="F54" i="42"/>
  <c r="F49" i="42"/>
  <c r="F45" i="42"/>
  <c r="F99" i="42"/>
  <c r="F79" i="42"/>
  <c r="F51" i="42"/>
  <c r="F33" i="42"/>
  <c r="F31" i="42"/>
  <c r="F43" i="42"/>
  <c r="X22" i="54"/>
  <c r="P26" i="54"/>
  <c r="Z18" i="35"/>
  <c r="T27" i="35"/>
  <c r="T27" i="46"/>
  <c r="Z18" i="46"/>
  <c r="T27" i="38"/>
  <c r="Z18" i="38"/>
  <c r="V25" i="36"/>
  <c r="R84" i="27"/>
  <c r="R77" i="27"/>
  <c r="R52" i="27"/>
  <c r="R45" i="27"/>
  <c r="R40" i="27"/>
  <c r="R31" i="27"/>
  <c r="R24" i="27"/>
  <c r="R89" i="27"/>
  <c r="R71" i="27"/>
  <c r="R67" i="27"/>
  <c r="R64" i="27"/>
  <c r="R59" i="27"/>
  <c r="R56" i="27"/>
  <c r="R51" i="27"/>
  <c r="R39" i="27"/>
  <c r="P31" i="27"/>
  <c r="R23" i="27"/>
  <c r="R83" i="27"/>
  <c r="R73" i="27"/>
  <c r="R69" i="27"/>
  <c r="R66" i="27"/>
  <c r="R61" i="27"/>
  <c r="R58" i="27"/>
  <c r="R49" i="27"/>
  <c r="R37" i="27"/>
  <c r="R29" i="27"/>
  <c r="R21" i="27"/>
  <c r="R76" i="27"/>
  <c r="R48" i="27"/>
  <c r="R44" i="27"/>
  <c r="R36" i="27"/>
  <c r="R33" i="27"/>
  <c r="R28" i="27"/>
  <c r="R20" i="27"/>
  <c r="R85" i="27"/>
  <c r="R79" i="27"/>
  <c r="R75" i="27"/>
  <c r="R72" i="27"/>
  <c r="R68" i="27"/>
  <c r="R63" i="27"/>
  <c r="R60" i="27"/>
  <c r="R55" i="27"/>
  <c r="R47" i="27"/>
  <c r="R43" i="27"/>
  <c r="R35" i="27"/>
  <c r="R27" i="27"/>
  <c r="R82" i="27"/>
  <c r="R78" i="27"/>
  <c r="R54" i="27"/>
  <c r="R46" i="27"/>
  <c r="R42" i="27"/>
  <c r="R26" i="27"/>
  <c r="R19" i="27"/>
  <c r="R57" i="27"/>
  <c r="R22" i="27"/>
  <c r="R53" i="27"/>
  <c r="R34" i="27"/>
  <c r="R74" i="27"/>
  <c r="R65" i="27"/>
  <c r="R50" i="27"/>
  <c r="R41" i="27"/>
  <c r="X12" i="27"/>
  <c r="Z12" i="27" s="1"/>
  <c r="R38" i="27"/>
  <c r="R81" i="27"/>
  <c r="R62" i="27"/>
  <c r="R70" i="27"/>
  <c r="R25" i="27"/>
  <c r="L18" i="37"/>
  <c r="H84" i="24"/>
  <c r="V22" i="33"/>
  <c r="T74" i="33"/>
  <c r="T90" i="21"/>
  <c r="N27" i="31"/>
  <c r="H31" i="31"/>
  <c r="Z27" i="25"/>
  <c r="T31" i="25"/>
  <c r="H27" i="22"/>
  <c r="L27" i="22" s="1"/>
  <c r="N18" i="22"/>
  <c r="D31" i="22"/>
  <c r="Z27" i="37"/>
  <c r="T31" i="37"/>
  <c r="T27" i="19"/>
  <c r="Z18" i="19"/>
  <c r="X16" i="9"/>
  <c r="Z56" i="18"/>
  <c r="T159" i="18"/>
  <c r="D27" i="23"/>
  <c r="L18" i="23"/>
  <c r="L18" i="20"/>
  <c r="D27" i="20"/>
  <c r="P151" i="15"/>
  <c r="X50" i="15"/>
  <c r="R146" i="12"/>
  <c r="R139" i="12"/>
  <c r="R134" i="12"/>
  <c r="R130" i="12"/>
  <c r="R126" i="12"/>
  <c r="R122" i="12"/>
  <c r="R110" i="12"/>
  <c r="R107" i="12"/>
  <c r="R102" i="12"/>
  <c r="R98" i="12"/>
  <c r="R95" i="12"/>
  <c r="R90" i="12"/>
  <c r="R86" i="12"/>
  <c r="R83" i="12"/>
  <c r="R78" i="12"/>
  <c r="R70" i="12"/>
  <c r="R66" i="12"/>
  <c r="R58" i="12"/>
  <c r="R50" i="12"/>
  <c r="R42" i="12"/>
  <c r="R34" i="12"/>
  <c r="R26" i="12"/>
  <c r="R160" i="12"/>
  <c r="R152" i="12"/>
  <c r="R132" i="12"/>
  <c r="R124" i="12"/>
  <c r="R120" i="12"/>
  <c r="R116" i="12"/>
  <c r="R112" i="12"/>
  <c r="R109" i="12"/>
  <c r="R104" i="12"/>
  <c r="R97" i="12"/>
  <c r="R92" i="12"/>
  <c r="R85" i="12"/>
  <c r="R80" i="12"/>
  <c r="R76" i="12"/>
  <c r="R64" i="12"/>
  <c r="R57" i="12"/>
  <c r="R48" i="12"/>
  <c r="R40" i="12"/>
  <c r="R32" i="12"/>
  <c r="R24" i="12"/>
  <c r="R148" i="12"/>
  <c r="R144" i="12"/>
  <c r="R128" i="12"/>
  <c r="R119" i="12"/>
  <c r="R115" i="12"/>
  <c r="R100" i="12"/>
  <c r="R88" i="12"/>
  <c r="R75" i="12"/>
  <c r="R68" i="12"/>
  <c r="R63" i="12"/>
  <c r="R47" i="12"/>
  <c r="R39" i="12"/>
  <c r="R31" i="12"/>
  <c r="R154" i="12"/>
  <c r="R138" i="12"/>
  <c r="R131" i="12"/>
  <c r="R123" i="12"/>
  <c r="R114" i="12"/>
  <c r="R111" i="12"/>
  <c r="R106" i="12"/>
  <c r="R103" i="12"/>
  <c r="R94" i="12"/>
  <c r="R91" i="12"/>
  <c r="R82" i="12"/>
  <c r="R79" i="12"/>
  <c r="R74" i="12"/>
  <c r="R62" i="12"/>
  <c r="P54" i="12"/>
  <c r="R46" i="12"/>
  <c r="R38" i="12"/>
  <c r="R30" i="12"/>
  <c r="R23" i="12"/>
  <c r="X12" i="12"/>
  <c r="Z12" i="12" s="1"/>
  <c r="R141" i="12"/>
  <c r="R137" i="12"/>
  <c r="R118" i="12"/>
  <c r="R73" i="12"/>
  <c r="R61" i="12"/>
  <c r="R45" i="12"/>
  <c r="R37" i="12"/>
  <c r="R29" i="12"/>
  <c r="R156" i="12"/>
  <c r="R151" i="12"/>
  <c r="R140" i="12"/>
  <c r="R136" i="12"/>
  <c r="R113" i="12"/>
  <c r="R108" i="12"/>
  <c r="R105" i="12"/>
  <c r="R96" i="12"/>
  <c r="R93" i="12"/>
  <c r="R84" i="12"/>
  <c r="R81" i="12"/>
  <c r="R72" i="12"/>
  <c r="R60" i="12"/>
  <c r="R52" i="12"/>
  <c r="R44" i="12"/>
  <c r="R36" i="12"/>
  <c r="R28" i="12"/>
  <c r="R69" i="12"/>
  <c r="R35" i="12"/>
  <c r="R153" i="12"/>
  <c r="R147" i="12"/>
  <c r="R135" i="12"/>
  <c r="R65" i="12"/>
  <c r="R51" i="12"/>
  <c r="R149" i="12"/>
  <c r="R143" i="12"/>
  <c r="R142" i="12"/>
  <c r="R129" i="12"/>
  <c r="R127" i="12"/>
  <c r="R117" i="12"/>
  <c r="R49" i="12"/>
  <c r="R41" i="12"/>
  <c r="R33" i="12"/>
  <c r="R25" i="12"/>
  <c r="R145" i="12"/>
  <c r="R133" i="12"/>
  <c r="R43" i="12"/>
  <c r="R155" i="12"/>
  <c r="R125" i="12"/>
  <c r="R121" i="12"/>
  <c r="R101" i="12"/>
  <c r="R99" i="12"/>
  <c r="R71" i="12"/>
  <c r="R67" i="12"/>
  <c r="R89" i="12"/>
  <c r="R87" i="12"/>
  <c r="R59" i="12"/>
  <c r="R56" i="12"/>
  <c r="R77" i="12"/>
  <c r="R27" i="12"/>
  <c r="P26" i="6"/>
  <c r="X22" i="6"/>
  <c r="P27" i="10"/>
  <c r="X18" i="10"/>
  <c r="D175" i="3"/>
  <c r="L62" i="3"/>
  <c r="N62" i="3" s="1"/>
  <c r="D31" i="14"/>
  <c r="H27" i="8"/>
  <c r="N18" i="8"/>
  <c r="X18" i="16"/>
  <c r="P102" i="9"/>
  <c r="D36" i="5"/>
  <c r="L36" i="5" s="1"/>
  <c r="L31" i="5"/>
  <c r="H31" i="35" l="1"/>
  <c r="T31" i="22"/>
  <c r="T36" i="22" s="1"/>
  <c r="Z36" i="22" s="1"/>
  <c r="H31" i="14"/>
  <c r="H36" i="14" s="1"/>
  <c r="N36" i="14" s="1"/>
  <c r="D31" i="31"/>
  <c r="D36" i="31" s="1"/>
  <c r="N27" i="14"/>
  <c r="H31" i="34"/>
  <c r="L31" i="34" s="1"/>
  <c r="N27" i="34"/>
  <c r="P31" i="32"/>
  <c r="P36" i="32" s="1"/>
  <c r="X27" i="32"/>
  <c r="H36" i="50"/>
  <c r="N36" i="50" s="1"/>
  <c r="N31" i="50"/>
  <c r="Z27" i="34"/>
  <c r="T31" i="34"/>
  <c r="X31" i="34" s="1"/>
  <c r="Z27" i="38"/>
  <c r="T31" i="38"/>
  <c r="L84" i="74"/>
  <c r="D88" i="74"/>
  <c r="F84" i="74"/>
  <c r="L27" i="4"/>
  <c r="D31" i="4"/>
  <c r="T123" i="30"/>
  <c r="V119" i="30"/>
  <c r="P69" i="57"/>
  <c r="X65" i="57"/>
  <c r="Z65" i="57" s="1"/>
  <c r="H31" i="94"/>
  <c r="N27" i="94"/>
  <c r="Z27" i="16"/>
  <c r="T31" i="16"/>
  <c r="L27" i="93"/>
  <c r="D31" i="93"/>
  <c r="T64" i="61"/>
  <c r="T163" i="18"/>
  <c r="V159" i="18"/>
  <c r="T82" i="48"/>
  <c r="V79" i="48"/>
  <c r="N27" i="43"/>
  <c r="H31" i="43"/>
  <c r="D87" i="65"/>
  <c r="L31" i="65"/>
  <c r="N31" i="65" s="1"/>
  <c r="V99" i="91"/>
  <c r="D92" i="91"/>
  <c r="L23" i="91"/>
  <c r="N23" i="91" s="1"/>
  <c r="H83" i="69"/>
  <c r="J79" i="69"/>
  <c r="T26" i="6"/>
  <c r="Z22" i="6"/>
  <c r="N26" i="54"/>
  <c r="H31" i="54"/>
  <c r="P36" i="16"/>
  <c r="Z27" i="41"/>
  <c r="T31" i="41"/>
  <c r="X27" i="41"/>
  <c r="P36" i="49"/>
  <c r="P91" i="65"/>
  <c r="X87" i="65"/>
  <c r="R87" i="65"/>
  <c r="T78" i="68"/>
  <c r="V74" i="68"/>
  <c r="P37" i="80"/>
  <c r="D31" i="40"/>
  <c r="L27" i="40"/>
  <c r="L28" i="81"/>
  <c r="N28" i="81" s="1"/>
  <c r="D32" i="81"/>
  <c r="P31" i="14"/>
  <c r="X27" i="14"/>
  <c r="Z27" i="4"/>
  <c r="T31" i="4"/>
  <c r="X31" i="4" s="1"/>
  <c r="T31" i="29"/>
  <c r="Z27" i="29"/>
  <c r="X27" i="29"/>
  <c r="D72" i="57"/>
  <c r="X61" i="61"/>
  <c r="Z61" i="61" s="1"/>
  <c r="T38" i="64"/>
  <c r="H78" i="71"/>
  <c r="J75" i="71"/>
  <c r="T93" i="90"/>
  <c r="V89" i="90"/>
  <c r="H91" i="63"/>
  <c r="J88" i="63"/>
  <c r="D87" i="27"/>
  <c r="L31" i="27"/>
  <c r="N31" i="27" s="1"/>
  <c r="D36" i="35"/>
  <c r="L31" i="35"/>
  <c r="X74" i="58"/>
  <c r="P78" i="58"/>
  <c r="P35" i="64"/>
  <c r="X31" i="64"/>
  <c r="Z31" i="64" s="1"/>
  <c r="T110" i="42"/>
  <c r="V106" i="42"/>
  <c r="H26" i="6"/>
  <c r="N22" i="6"/>
  <c r="Z27" i="17"/>
  <c r="T31" i="17"/>
  <c r="T155" i="15"/>
  <c r="Z151" i="15"/>
  <c r="V151" i="15"/>
  <c r="H36" i="52"/>
  <c r="N36" i="52" s="1"/>
  <c r="N31" i="52"/>
  <c r="D62" i="60"/>
  <c r="L58" i="60"/>
  <c r="N58" i="60" s="1"/>
  <c r="H33" i="82"/>
  <c r="N33" i="82" s="1"/>
  <c r="N30" i="82"/>
  <c r="T31" i="40"/>
  <c r="Z27" i="40"/>
  <c r="H36" i="44"/>
  <c r="N36" i="44" s="1"/>
  <c r="N31" i="44"/>
  <c r="L27" i="13"/>
  <c r="D31" i="13"/>
  <c r="P89" i="90"/>
  <c r="X23" i="90"/>
  <c r="Z23" i="90" s="1"/>
  <c r="D79" i="92"/>
  <c r="L75" i="92"/>
  <c r="N75" i="92" s="1"/>
  <c r="F75" i="92"/>
  <c r="L27" i="43"/>
  <c r="D31" i="43"/>
  <c r="D31" i="95"/>
  <c r="L27" i="95"/>
  <c r="X27" i="94"/>
  <c r="P31" i="94"/>
  <c r="D36" i="10"/>
  <c r="L31" i="10"/>
  <c r="D31" i="28"/>
  <c r="L27" i="28"/>
  <c r="J82" i="48"/>
  <c r="H31" i="20"/>
  <c r="N27" i="20"/>
  <c r="V74" i="33"/>
  <c r="T78" i="33"/>
  <c r="T31" i="46"/>
  <c r="Z27" i="46"/>
  <c r="P77" i="56"/>
  <c r="T65" i="60"/>
  <c r="D89" i="75"/>
  <c r="L24" i="75"/>
  <c r="N24" i="75" s="1"/>
  <c r="P63" i="88"/>
  <c r="X59" i="88"/>
  <c r="Z59" i="88" s="1"/>
  <c r="T36" i="7"/>
  <c r="Z36" i="7" s="1"/>
  <c r="Z31" i="7"/>
  <c r="N27" i="13"/>
  <c r="H31" i="13"/>
  <c r="D31" i="26"/>
  <c r="L27" i="26"/>
  <c r="T77" i="79"/>
  <c r="Z73" i="79"/>
  <c r="X73" i="79"/>
  <c r="H36" i="40"/>
  <c r="N36" i="40" s="1"/>
  <c r="N31" i="40"/>
  <c r="X23" i="77"/>
  <c r="Z23" i="77" s="1"/>
  <c r="P90" i="77"/>
  <c r="P31" i="43"/>
  <c r="X27" i="43"/>
  <c r="P84" i="63"/>
  <c r="X30" i="63"/>
  <c r="Z30" i="63" s="1"/>
  <c r="R30" i="63"/>
  <c r="H91" i="84"/>
  <c r="J87" i="84"/>
  <c r="T31" i="53"/>
  <c r="X31" i="53" s="1"/>
  <c r="Z27" i="53"/>
  <c r="N27" i="4"/>
  <c r="H31" i="4"/>
  <c r="D78" i="33"/>
  <c r="L74" i="33"/>
  <c r="F74" i="33"/>
  <c r="X100" i="62"/>
  <c r="P104" i="62"/>
  <c r="P33" i="86"/>
  <c r="X30" i="86"/>
  <c r="X27" i="19"/>
  <c r="P31" i="19"/>
  <c r="X27" i="4"/>
  <c r="D31" i="8"/>
  <c r="L27" i="8"/>
  <c r="P84" i="24"/>
  <c r="X30" i="24"/>
  <c r="Z30" i="24" s="1"/>
  <c r="R30" i="24"/>
  <c r="H67" i="59"/>
  <c r="H40" i="87"/>
  <c r="H110" i="42"/>
  <c r="J106" i="42"/>
  <c r="R32" i="73"/>
  <c r="H99" i="9"/>
  <c r="T36" i="14"/>
  <c r="Z36" i="14" s="1"/>
  <c r="Z31" i="14"/>
  <c r="P31" i="23"/>
  <c r="X27" i="23"/>
  <c r="D31" i="44"/>
  <c r="L27" i="44"/>
  <c r="P28" i="72"/>
  <c r="X24" i="72"/>
  <c r="P93" i="75"/>
  <c r="X89" i="75"/>
  <c r="R89" i="75"/>
  <c r="L27" i="49"/>
  <c r="D31" i="49"/>
  <c r="P36" i="20"/>
  <c r="Z27" i="31"/>
  <c r="T31" i="31"/>
  <c r="H77" i="56"/>
  <c r="D36" i="19"/>
  <c r="D31" i="50"/>
  <c r="L27" i="50"/>
  <c r="H35" i="81"/>
  <c r="H111" i="67"/>
  <c r="J107" i="67"/>
  <c r="H31" i="22"/>
  <c r="N27" i="22"/>
  <c r="Z27" i="35"/>
  <c r="T31" i="35"/>
  <c r="H91" i="65"/>
  <c r="J87" i="65"/>
  <c r="D55" i="85"/>
  <c r="L51" i="85"/>
  <c r="L109" i="39"/>
  <c r="D113" i="39"/>
  <c r="F109" i="39"/>
  <c r="T32" i="81"/>
  <c r="H94" i="21"/>
  <c r="J90" i="21"/>
  <c r="P82" i="48"/>
  <c r="X79" i="48"/>
  <c r="Z79" i="48" s="1"/>
  <c r="R79" i="48"/>
  <c r="X62" i="3"/>
  <c r="Z62" i="3" s="1"/>
  <c r="P175" i="3"/>
  <c r="Z27" i="13"/>
  <c r="T31" i="13"/>
  <c r="X31" i="13" s="1"/>
  <c r="H113" i="39"/>
  <c r="N109" i="39"/>
  <c r="J109" i="39"/>
  <c r="D79" i="48"/>
  <c r="L75" i="48"/>
  <c r="N75" i="48" s="1"/>
  <c r="F75" i="48"/>
  <c r="N27" i="47"/>
  <c r="H31" i="47"/>
  <c r="P78" i="68"/>
  <c r="X74" i="68"/>
  <c r="Z74" i="68" s="1"/>
  <c r="R74" i="68"/>
  <c r="D36" i="87"/>
  <c r="L18" i="87"/>
  <c r="R23" i="77"/>
  <c r="Z31" i="22"/>
  <c r="P163" i="18"/>
  <c r="X159" i="18"/>
  <c r="Z159" i="18" s="1"/>
  <c r="R159" i="18"/>
  <c r="T31" i="20"/>
  <c r="Z27" i="20"/>
  <c r="P31" i="52"/>
  <c r="X27" i="52"/>
  <c r="H64" i="61"/>
  <c r="D84" i="63"/>
  <c r="L30" i="63"/>
  <c r="N30" i="63" s="1"/>
  <c r="H80" i="79"/>
  <c r="P62" i="60"/>
  <c r="X58" i="60"/>
  <c r="Z58" i="60" s="1"/>
  <c r="D31" i="38"/>
  <c r="L27" i="38"/>
  <c r="T74" i="56"/>
  <c r="Z70" i="56"/>
  <c r="P36" i="4"/>
  <c r="N27" i="11"/>
  <c r="H31" i="11"/>
  <c r="L27" i="17"/>
  <c r="D31" i="17"/>
  <c r="P75" i="71"/>
  <c r="X71" i="71"/>
  <c r="T99" i="83"/>
  <c r="V96" i="83"/>
  <c r="J184" i="3"/>
  <c r="P31" i="50"/>
  <c r="X27" i="50"/>
  <c r="H30" i="78"/>
  <c r="N26" i="78"/>
  <c r="D158" i="12"/>
  <c r="L54" i="12"/>
  <c r="N54" i="12" s="1"/>
  <c r="T120" i="36"/>
  <c r="V116" i="36"/>
  <c r="X40" i="67"/>
  <c r="Z40" i="67" s="1"/>
  <c r="P107" i="67"/>
  <c r="H99" i="83"/>
  <c r="J96" i="83"/>
  <c r="H79" i="92"/>
  <c r="J75" i="92"/>
  <c r="T94" i="77"/>
  <c r="V90" i="77"/>
  <c r="D97" i="45"/>
  <c r="L23" i="45"/>
  <c r="N23" i="45" s="1"/>
  <c r="H96" i="91"/>
  <c r="J92" i="91"/>
  <c r="X27" i="20"/>
  <c r="D36" i="46"/>
  <c r="P36" i="53"/>
  <c r="N31" i="32"/>
  <c r="H36" i="32"/>
  <c r="N36" i="32" s="1"/>
  <c r="P64" i="59"/>
  <c r="X60" i="59"/>
  <c r="Z60" i="59" s="1"/>
  <c r="L27" i="23"/>
  <c r="D31" i="23"/>
  <c r="H36" i="28"/>
  <c r="N36" i="28" s="1"/>
  <c r="N31" i="28"/>
  <c r="P31" i="40"/>
  <c r="X27" i="40"/>
  <c r="T111" i="67"/>
  <c r="V107" i="67"/>
  <c r="P36" i="37"/>
  <c r="X31" i="37"/>
  <c r="N27" i="53"/>
  <c r="H31" i="53"/>
  <c r="P31" i="6"/>
  <c r="X26" i="6"/>
  <c r="D36" i="14"/>
  <c r="L31" i="14"/>
  <c r="H93" i="90"/>
  <c r="J89" i="90"/>
  <c r="Z27" i="52"/>
  <c r="T31" i="52"/>
  <c r="F23" i="91"/>
  <c r="X27" i="47"/>
  <c r="P31" i="47"/>
  <c r="T99" i="9"/>
  <c r="Z95" i="9"/>
  <c r="X95" i="9"/>
  <c r="R62" i="3"/>
  <c r="T36" i="10"/>
  <c r="Z36" i="10" s="1"/>
  <c r="Z31" i="10"/>
  <c r="X27" i="11"/>
  <c r="P31" i="11"/>
  <c r="T36" i="32"/>
  <c r="Z31" i="32"/>
  <c r="X24" i="42"/>
  <c r="Z24" i="42" s="1"/>
  <c r="P106" i="42"/>
  <c r="P79" i="69"/>
  <c r="X31" i="69"/>
  <c r="Z31" i="69" s="1"/>
  <c r="P58" i="85"/>
  <c r="D123" i="30"/>
  <c r="L119" i="30"/>
  <c r="F119" i="30"/>
  <c r="T162" i="12"/>
  <c r="V158" i="12"/>
  <c r="H163" i="18"/>
  <c r="J159" i="18"/>
  <c r="P119" i="30"/>
  <c r="X40" i="30"/>
  <c r="Z40" i="30" s="1"/>
  <c r="D26" i="6"/>
  <c r="L22" i="6"/>
  <c r="H37" i="76"/>
  <c r="J34" i="76"/>
  <c r="H96" i="89"/>
  <c r="J93" i="89"/>
  <c r="D89" i="89"/>
  <c r="L23" i="89"/>
  <c r="N23" i="89" s="1"/>
  <c r="T94" i="27"/>
  <c r="V91" i="27"/>
  <c r="H83" i="51"/>
  <c r="J79" i="51"/>
  <c r="L22" i="68"/>
  <c r="N22" i="68" s="1"/>
  <c r="D74" i="68"/>
  <c r="D77" i="79"/>
  <c r="L73" i="79"/>
  <c r="N73" i="79" s="1"/>
  <c r="R43" i="87"/>
  <c r="Z87" i="65"/>
  <c r="T91" i="65"/>
  <c r="V87" i="65"/>
  <c r="H36" i="17"/>
  <c r="N36" i="17" s="1"/>
  <c r="N31" i="17"/>
  <c r="V91" i="24"/>
  <c r="T88" i="74"/>
  <c r="V84" i="74"/>
  <c r="Z27" i="8"/>
  <c r="T31" i="8"/>
  <c r="X27" i="8"/>
  <c r="T88" i="63"/>
  <c r="V84" i="63"/>
  <c r="X23" i="91"/>
  <c r="Z23" i="91" s="1"/>
  <c r="P92" i="91"/>
  <c r="N31" i="93"/>
  <c r="H36" i="93"/>
  <c r="N36" i="93" s="1"/>
  <c r="T101" i="45"/>
  <c r="V97" i="45"/>
  <c r="H35" i="64"/>
  <c r="N31" i="64"/>
  <c r="D79" i="69"/>
  <c r="L31" i="69"/>
  <c r="N31" i="69" s="1"/>
  <c r="H31" i="46"/>
  <c r="N27" i="46"/>
  <c r="T36" i="23"/>
  <c r="Z36" i="23" s="1"/>
  <c r="Z31" i="23"/>
  <c r="H123" i="30"/>
  <c r="N119" i="30"/>
  <c r="J119" i="30"/>
  <c r="P35" i="55"/>
  <c r="X31" i="55"/>
  <c r="Z31" i="55" s="1"/>
  <c r="X27" i="53"/>
  <c r="T94" i="21"/>
  <c r="V90" i="21"/>
  <c r="H34" i="80"/>
  <c r="D36" i="37"/>
  <c r="T104" i="62"/>
  <c r="Z100" i="62"/>
  <c r="L23" i="83"/>
  <c r="N23" i="83" s="1"/>
  <c r="D92" i="83"/>
  <c r="P31" i="17"/>
  <c r="X27" i="17"/>
  <c r="L40" i="67"/>
  <c r="N40" i="67" s="1"/>
  <c r="D107" i="67"/>
  <c r="P31" i="35"/>
  <c r="X27" i="35"/>
  <c r="P34" i="76"/>
  <c r="X30" i="76"/>
  <c r="R30" i="76"/>
  <c r="N27" i="8"/>
  <c r="H31" i="8"/>
  <c r="X54" i="12"/>
  <c r="Z54" i="12" s="1"/>
  <c r="P158" i="12"/>
  <c r="R54" i="12"/>
  <c r="D179" i="3"/>
  <c r="L175" i="3"/>
  <c r="N175" i="3" s="1"/>
  <c r="F175" i="3"/>
  <c r="D31" i="20"/>
  <c r="L27" i="20"/>
  <c r="Z27" i="19"/>
  <c r="T31" i="19"/>
  <c r="P31" i="54"/>
  <c r="X31" i="54" s="1"/>
  <c r="Z31" i="54" s="1"/>
  <c r="X26" i="54"/>
  <c r="D38" i="55"/>
  <c r="T78" i="58"/>
  <c r="Z74" i="58"/>
  <c r="F31" i="65"/>
  <c r="H28" i="72"/>
  <c r="N24" i="72"/>
  <c r="D94" i="77"/>
  <c r="L90" i="77"/>
  <c r="F90" i="77"/>
  <c r="L66" i="88"/>
  <c r="Z31" i="94"/>
  <c r="T36" i="94"/>
  <c r="Z36" i="94" s="1"/>
  <c r="T29" i="73"/>
  <c r="Z25" i="73"/>
  <c r="V25" i="73"/>
  <c r="X25" i="73"/>
  <c r="X26" i="82"/>
  <c r="P30" i="82"/>
  <c r="H81" i="68"/>
  <c r="J78" i="68"/>
  <c r="T179" i="3"/>
  <c r="V175" i="3"/>
  <c r="L23" i="21"/>
  <c r="N23" i="21" s="1"/>
  <c r="D90" i="21"/>
  <c r="H31" i="38"/>
  <c r="N27" i="38"/>
  <c r="L27" i="53"/>
  <c r="D31" i="53"/>
  <c r="T31" i="50"/>
  <c r="Z27" i="50"/>
  <c r="R31" i="69"/>
  <c r="T75" i="71"/>
  <c r="Z71" i="71"/>
  <c r="V71" i="71"/>
  <c r="H32" i="73"/>
  <c r="J29" i="73"/>
  <c r="F23" i="83"/>
  <c r="D67" i="59"/>
  <c r="L64" i="59"/>
  <c r="N64" i="59" s="1"/>
  <c r="D36" i="25"/>
  <c r="Z27" i="26"/>
  <c r="T31" i="26"/>
  <c r="V116" i="39"/>
  <c r="P31" i="46"/>
  <c r="X27" i="46"/>
  <c r="D74" i="56"/>
  <c r="L70" i="56"/>
  <c r="N70" i="56" s="1"/>
  <c r="J96" i="75"/>
  <c r="H88" i="74"/>
  <c r="N84" i="74"/>
  <c r="J84" i="74"/>
  <c r="T82" i="92"/>
  <c r="V79" i="92"/>
  <c r="H158" i="15"/>
  <c r="J155" i="15"/>
  <c r="H31" i="25"/>
  <c r="L31" i="25" s="1"/>
  <c r="N27" i="25"/>
  <c r="D78" i="58"/>
  <c r="L74" i="58"/>
  <c r="N74" i="58" s="1"/>
  <c r="P31" i="7"/>
  <c r="X27" i="7"/>
  <c r="H31" i="16"/>
  <c r="N27" i="16"/>
  <c r="Z31" i="28"/>
  <c r="T36" i="28"/>
  <c r="Z36" i="28" s="1"/>
  <c r="L27" i="29"/>
  <c r="D31" i="29"/>
  <c r="X27" i="22"/>
  <c r="P31" i="22"/>
  <c r="X79" i="51"/>
  <c r="P83" i="51"/>
  <c r="R79" i="51"/>
  <c r="D31" i="72"/>
  <c r="L28" i="72"/>
  <c r="D75" i="71"/>
  <c r="L71" i="71"/>
  <c r="N71" i="71" s="1"/>
  <c r="P82" i="92"/>
  <c r="X79" i="92"/>
  <c r="Z79" i="92" s="1"/>
  <c r="R79" i="92"/>
  <c r="L30" i="24"/>
  <c r="N30" i="24" s="1"/>
  <c r="D84" i="24"/>
  <c r="H91" i="27"/>
  <c r="J87" i="27"/>
  <c r="H31" i="26"/>
  <c r="N27" i="26"/>
  <c r="D31" i="11"/>
  <c r="L27" i="11"/>
  <c r="D116" i="36"/>
  <c r="L25" i="36"/>
  <c r="N25" i="36" s="1"/>
  <c r="H31" i="49"/>
  <c r="N27" i="49"/>
  <c r="T34" i="76"/>
  <c r="Z30" i="76"/>
  <c r="V30" i="76"/>
  <c r="T30" i="78"/>
  <c r="Z26" i="78"/>
  <c r="X26" i="78"/>
  <c r="H30" i="86"/>
  <c r="N26" i="86"/>
  <c r="L20" i="84"/>
  <c r="N20" i="84" s="1"/>
  <c r="D87" i="84"/>
  <c r="T30" i="82"/>
  <c r="Z26" i="82"/>
  <c r="H31" i="37"/>
  <c r="N27" i="37"/>
  <c r="Z24" i="72"/>
  <c r="T28" i="72"/>
  <c r="P31" i="25"/>
  <c r="X27" i="25"/>
  <c r="D36" i="22"/>
  <c r="T40" i="87"/>
  <c r="Z36" i="87"/>
  <c r="X36" i="87"/>
  <c r="N66" i="88"/>
  <c r="T36" i="5"/>
  <c r="Z36" i="5" s="1"/>
  <c r="Z31" i="5"/>
  <c r="T31" i="47"/>
  <c r="Z27" i="47"/>
  <c r="D79" i="51"/>
  <c r="L31" i="51"/>
  <c r="N31" i="51" s="1"/>
  <c r="P92" i="83"/>
  <c r="X23" i="83"/>
  <c r="Z23" i="83" s="1"/>
  <c r="D25" i="73"/>
  <c r="L19" i="73"/>
  <c r="N19" i="73" s="1"/>
  <c r="X27" i="5"/>
  <c r="P31" i="5"/>
  <c r="Z27" i="93"/>
  <c r="T31" i="93"/>
  <c r="P155" i="15"/>
  <c r="X151" i="15"/>
  <c r="R151" i="15"/>
  <c r="T36" i="25"/>
  <c r="Z36" i="25" s="1"/>
  <c r="Z31" i="25"/>
  <c r="D106" i="42"/>
  <c r="L24" i="42"/>
  <c r="N24" i="42" s="1"/>
  <c r="T36" i="37"/>
  <c r="Z36" i="37" s="1"/>
  <c r="Z31" i="37"/>
  <c r="H36" i="31"/>
  <c r="N36" i="31" s="1"/>
  <c r="N31" i="31"/>
  <c r="H88" i="24"/>
  <c r="J84" i="24"/>
  <c r="P87" i="27"/>
  <c r="X31" i="27"/>
  <c r="Z31" i="27" s="1"/>
  <c r="L27" i="41"/>
  <c r="D31" i="41"/>
  <c r="D36" i="7"/>
  <c r="L31" i="7"/>
  <c r="P120" i="36"/>
  <c r="X116" i="36"/>
  <c r="Z116" i="36" s="1"/>
  <c r="R116" i="36"/>
  <c r="H120" i="36"/>
  <c r="J116" i="36"/>
  <c r="H104" i="62"/>
  <c r="Z26" i="86"/>
  <c r="T30" i="86"/>
  <c r="P31" i="31"/>
  <c r="X27" i="31"/>
  <c r="N27" i="41"/>
  <c r="H31" i="41"/>
  <c r="T31" i="95"/>
  <c r="X31" i="95" s="1"/>
  <c r="Z27" i="95"/>
  <c r="P36" i="13"/>
  <c r="X22" i="33"/>
  <c r="Z22" i="33" s="1"/>
  <c r="P74" i="33"/>
  <c r="R22" i="33"/>
  <c r="L26" i="54"/>
  <c r="X84" i="74"/>
  <c r="Z84" i="74" s="1"/>
  <c r="P88" i="74"/>
  <c r="R84" i="74"/>
  <c r="N51" i="85"/>
  <c r="H55" i="85"/>
  <c r="D30" i="78"/>
  <c r="L26" i="78"/>
  <c r="Z27" i="43"/>
  <c r="T31" i="43"/>
  <c r="F40" i="67"/>
  <c r="H31" i="23"/>
  <c r="N27" i="23"/>
  <c r="L27" i="47"/>
  <c r="D31" i="47"/>
  <c r="Z30" i="80"/>
  <c r="T34" i="80"/>
  <c r="X34" i="80" s="1"/>
  <c r="P93" i="89"/>
  <c r="X89" i="89"/>
  <c r="R89" i="89"/>
  <c r="T93" i="75"/>
  <c r="Z89" i="75"/>
  <c r="V89" i="75"/>
  <c r="T83" i="69"/>
  <c r="V79" i="69"/>
  <c r="Z89" i="89"/>
  <c r="T93" i="89"/>
  <c r="V89" i="89"/>
  <c r="F25" i="36"/>
  <c r="P36" i="34"/>
  <c r="D31" i="52"/>
  <c r="L27" i="52"/>
  <c r="X27" i="95"/>
  <c r="D104" i="62"/>
  <c r="L100" i="62"/>
  <c r="N100" i="62" s="1"/>
  <c r="F31" i="69"/>
  <c r="D31" i="94"/>
  <c r="L27" i="94"/>
  <c r="H65" i="60"/>
  <c r="L56" i="18"/>
  <c r="N56" i="18" s="1"/>
  <c r="D159" i="18"/>
  <c r="P90" i="21"/>
  <c r="X23" i="21"/>
  <c r="Z23" i="21" s="1"/>
  <c r="R23" i="21"/>
  <c r="T31" i="49"/>
  <c r="Z27" i="49"/>
  <c r="X64" i="61"/>
  <c r="T55" i="85"/>
  <c r="Z51" i="85"/>
  <c r="X27" i="38"/>
  <c r="P31" i="38"/>
  <c r="P31" i="10"/>
  <c r="X27" i="10"/>
  <c r="T83" i="51"/>
  <c r="Z79" i="51"/>
  <c r="V79" i="51"/>
  <c r="P32" i="81"/>
  <c r="X28" i="81"/>
  <c r="Z28" i="81" s="1"/>
  <c r="X20" i="84"/>
  <c r="Z20" i="84" s="1"/>
  <c r="P87" i="84"/>
  <c r="H162" i="12"/>
  <c r="J158" i="12"/>
  <c r="D38" i="64"/>
  <c r="L35" i="64"/>
  <c r="H36" i="10"/>
  <c r="N36" i="10" s="1"/>
  <c r="N31" i="10"/>
  <c r="N27" i="29"/>
  <c r="H31" i="29"/>
  <c r="D30" i="82"/>
  <c r="L26" i="82"/>
  <c r="H36" i="7"/>
  <c r="N36" i="7" s="1"/>
  <c r="N31" i="7"/>
  <c r="H36" i="35"/>
  <c r="N36" i="35" s="1"/>
  <c r="N31" i="35"/>
  <c r="D34" i="76"/>
  <c r="L30" i="76"/>
  <c r="N30" i="76" s="1"/>
  <c r="F30" i="76"/>
  <c r="F18" i="87"/>
  <c r="P109" i="39"/>
  <c r="X25" i="39"/>
  <c r="Z25" i="39" s="1"/>
  <c r="X27" i="13"/>
  <c r="R40" i="30"/>
  <c r="P31" i="44"/>
  <c r="X27" i="44"/>
  <c r="L31" i="54"/>
  <c r="H69" i="57"/>
  <c r="N65" i="57"/>
  <c r="X27" i="93"/>
  <c r="P31" i="93"/>
  <c r="H78" i="33"/>
  <c r="N74" i="33"/>
  <c r="J74" i="33"/>
  <c r="T91" i="84"/>
  <c r="V87" i="84"/>
  <c r="N27" i="95"/>
  <c r="H31" i="95"/>
  <c r="H35" i="55"/>
  <c r="N31" i="55"/>
  <c r="D34" i="80"/>
  <c r="L30" i="80"/>
  <c r="N30" i="80" s="1"/>
  <c r="D89" i="90"/>
  <c r="L23" i="90"/>
  <c r="N23" i="90" s="1"/>
  <c r="D61" i="61"/>
  <c r="L57" i="61"/>
  <c r="N57" i="61" s="1"/>
  <c r="L27" i="16"/>
  <c r="D31" i="16"/>
  <c r="H31" i="19"/>
  <c r="N27" i="19"/>
  <c r="X27" i="26"/>
  <c r="P31" i="26"/>
  <c r="H101" i="45"/>
  <c r="J97" i="45"/>
  <c r="H94" i="77"/>
  <c r="N90" i="77"/>
  <c r="J90" i="77"/>
  <c r="P36" i="95"/>
  <c r="L26" i="86"/>
  <c r="D30" i="86"/>
  <c r="D155" i="15"/>
  <c r="L151" i="15"/>
  <c r="N151" i="15" s="1"/>
  <c r="F151" i="15"/>
  <c r="Z27" i="11"/>
  <c r="T31" i="11"/>
  <c r="P31" i="28"/>
  <c r="X27" i="28"/>
  <c r="L27" i="32"/>
  <c r="D31" i="32"/>
  <c r="X23" i="45"/>
  <c r="Z23" i="45" s="1"/>
  <c r="P97" i="45"/>
  <c r="D99" i="9"/>
  <c r="L95" i="9"/>
  <c r="N95" i="9" s="1"/>
  <c r="N31" i="14" l="1"/>
  <c r="L31" i="31"/>
  <c r="N31" i="34"/>
  <c r="H36" i="34"/>
  <c r="N36" i="34" s="1"/>
  <c r="X31" i="32"/>
  <c r="L36" i="31"/>
  <c r="T36" i="34"/>
  <c r="Z36" i="34" s="1"/>
  <c r="Z31" i="34"/>
  <c r="H38" i="55"/>
  <c r="H97" i="77"/>
  <c r="J94" i="77"/>
  <c r="D37" i="80"/>
  <c r="L34" i="80"/>
  <c r="P113" i="39"/>
  <c r="X109" i="39"/>
  <c r="Z109" i="39" s="1"/>
  <c r="R109" i="39"/>
  <c r="P36" i="7"/>
  <c r="X36" i="7" s="1"/>
  <c r="X31" i="7"/>
  <c r="D36" i="53"/>
  <c r="L31" i="53"/>
  <c r="T184" i="3"/>
  <c r="V179" i="3"/>
  <c r="T94" i="65"/>
  <c r="V91" i="65"/>
  <c r="D78" i="68"/>
  <c r="L74" i="68"/>
  <c r="N74" i="68" s="1"/>
  <c r="F74" i="68"/>
  <c r="P36" i="11"/>
  <c r="X31" i="11"/>
  <c r="P36" i="47"/>
  <c r="X31" i="47"/>
  <c r="P111" i="67"/>
  <c r="X107" i="67"/>
  <c r="Z107" i="67" s="1"/>
  <c r="R107" i="67"/>
  <c r="V99" i="83"/>
  <c r="P36" i="52"/>
  <c r="X31" i="52"/>
  <c r="H36" i="22"/>
  <c r="N36" i="22" s="1"/>
  <c r="N31" i="22"/>
  <c r="D36" i="49"/>
  <c r="L31" i="49"/>
  <c r="D36" i="44"/>
  <c r="L36" i="44" s="1"/>
  <c r="L31" i="44"/>
  <c r="P36" i="19"/>
  <c r="X31" i="19"/>
  <c r="L78" i="33"/>
  <c r="D81" i="33"/>
  <c r="F78" i="33"/>
  <c r="L36" i="10"/>
  <c r="L36" i="35"/>
  <c r="D35" i="81"/>
  <c r="L35" i="81" s="1"/>
  <c r="L32" i="81"/>
  <c r="N32" i="81" s="1"/>
  <c r="T31" i="6"/>
  <c r="Z26" i="6"/>
  <c r="V82" i="48"/>
  <c r="T36" i="16"/>
  <c r="Z36" i="16" s="1"/>
  <c r="Z31" i="16"/>
  <c r="T126" i="30"/>
  <c r="V123" i="30"/>
  <c r="T36" i="93"/>
  <c r="Z36" i="93" s="1"/>
  <c r="Z31" i="93"/>
  <c r="H36" i="19"/>
  <c r="N36" i="19" s="1"/>
  <c r="N31" i="19"/>
  <c r="T31" i="72"/>
  <c r="Z31" i="72" s="1"/>
  <c r="Z28" i="72"/>
  <c r="D36" i="32"/>
  <c r="L36" i="32" s="1"/>
  <c r="L31" i="32"/>
  <c r="D158" i="15"/>
  <c r="L155" i="15"/>
  <c r="N155" i="15" s="1"/>
  <c r="F155" i="15"/>
  <c r="D36" i="16"/>
  <c r="L31" i="16"/>
  <c r="P36" i="44"/>
  <c r="X36" i="44" s="1"/>
  <c r="X31" i="44"/>
  <c r="T58" i="85"/>
  <c r="P94" i="21"/>
  <c r="X90" i="21"/>
  <c r="Z90" i="21" s="1"/>
  <c r="R90" i="21"/>
  <c r="D36" i="47"/>
  <c r="L31" i="47"/>
  <c r="D33" i="78"/>
  <c r="L30" i="78"/>
  <c r="P78" i="33"/>
  <c r="X74" i="33"/>
  <c r="Z74" i="33" s="1"/>
  <c r="R74" i="33"/>
  <c r="H123" i="36"/>
  <c r="J120" i="36"/>
  <c r="X155" i="15"/>
  <c r="P158" i="15"/>
  <c r="R155" i="15"/>
  <c r="P96" i="83"/>
  <c r="X92" i="83"/>
  <c r="Z92" i="83" s="1"/>
  <c r="R92" i="83"/>
  <c r="H33" i="86"/>
  <c r="H36" i="49"/>
  <c r="N36" i="49" s="1"/>
  <c r="N31" i="49"/>
  <c r="D78" i="71"/>
  <c r="L78" i="71" s="1"/>
  <c r="L75" i="71"/>
  <c r="N75" i="71" s="1"/>
  <c r="D36" i="29"/>
  <c r="L31" i="29"/>
  <c r="D77" i="56"/>
  <c r="L77" i="56" s="1"/>
  <c r="L74" i="56"/>
  <c r="N74" i="56" s="1"/>
  <c r="T32" i="73"/>
  <c r="V29" i="73"/>
  <c r="X29" i="73"/>
  <c r="Z29" i="73" s="1"/>
  <c r="H31" i="72"/>
  <c r="N31" i="72" s="1"/>
  <c r="N28" i="72"/>
  <c r="Z31" i="19"/>
  <c r="T36" i="19"/>
  <c r="Z36" i="19" s="1"/>
  <c r="P162" i="12"/>
  <c r="X158" i="12"/>
  <c r="Z158" i="12" s="1"/>
  <c r="R158" i="12"/>
  <c r="P36" i="35"/>
  <c r="X31" i="35"/>
  <c r="T97" i="21"/>
  <c r="V94" i="21"/>
  <c r="T91" i="63"/>
  <c r="V88" i="63"/>
  <c r="D93" i="89"/>
  <c r="L89" i="89"/>
  <c r="N89" i="89" s="1"/>
  <c r="F89" i="89"/>
  <c r="D31" i="6"/>
  <c r="L26" i="6"/>
  <c r="T165" i="12"/>
  <c r="V162" i="12"/>
  <c r="L36" i="14"/>
  <c r="T97" i="77"/>
  <c r="V94" i="77"/>
  <c r="H33" i="78"/>
  <c r="N33" i="78" s="1"/>
  <c r="N30" i="78"/>
  <c r="T36" i="13"/>
  <c r="Z36" i="13" s="1"/>
  <c r="Z31" i="13"/>
  <c r="D58" i="85"/>
  <c r="L55" i="85"/>
  <c r="L31" i="19"/>
  <c r="N31" i="4"/>
  <c r="H36" i="4"/>
  <c r="N36" i="4" s="1"/>
  <c r="P36" i="94"/>
  <c r="X36" i="94" s="1"/>
  <c r="X31" i="94"/>
  <c r="D82" i="92"/>
  <c r="L79" i="92"/>
  <c r="F79" i="92"/>
  <c r="T36" i="40"/>
  <c r="Z36" i="40" s="1"/>
  <c r="Z31" i="40"/>
  <c r="T36" i="41"/>
  <c r="Z31" i="41"/>
  <c r="X31" i="41"/>
  <c r="D36" i="4"/>
  <c r="L31" i="4"/>
  <c r="T113" i="42"/>
  <c r="V110" i="42"/>
  <c r="D91" i="27"/>
  <c r="L87" i="27"/>
  <c r="N87" i="27" s="1"/>
  <c r="F87" i="27"/>
  <c r="T81" i="68"/>
  <c r="V78" i="68"/>
  <c r="D107" i="62"/>
  <c r="L104" i="62"/>
  <c r="X31" i="31"/>
  <c r="P36" i="31"/>
  <c r="D81" i="58"/>
  <c r="L81" i="58" s="1"/>
  <c r="N81" i="58" s="1"/>
  <c r="L78" i="58"/>
  <c r="N78" i="58" s="1"/>
  <c r="T78" i="71"/>
  <c r="V75" i="71"/>
  <c r="T91" i="74"/>
  <c r="V88" i="74"/>
  <c r="P67" i="59"/>
  <c r="X67" i="59" s="1"/>
  <c r="Z67" i="59" s="1"/>
  <c r="X64" i="59"/>
  <c r="Z64" i="59" s="1"/>
  <c r="N77" i="56"/>
  <c r="X84" i="63"/>
  <c r="Z84" i="63" s="1"/>
  <c r="P88" i="63"/>
  <c r="R84" i="63"/>
  <c r="H36" i="20"/>
  <c r="N36" i="20" s="1"/>
  <c r="N31" i="20"/>
  <c r="H104" i="45"/>
  <c r="J101" i="45"/>
  <c r="H36" i="95"/>
  <c r="N36" i="95" s="1"/>
  <c r="N31" i="95"/>
  <c r="P36" i="93"/>
  <c r="X31" i="93"/>
  <c r="N31" i="29"/>
  <c r="H36" i="29"/>
  <c r="N36" i="29" s="1"/>
  <c r="H165" i="12"/>
  <c r="J162" i="12"/>
  <c r="T96" i="75"/>
  <c r="V93" i="75"/>
  <c r="T33" i="86"/>
  <c r="Z30" i="86"/>
  <c r="D83" i="51"/>
  <c r="L79" i="51"/>
  <c r="N79" i="51" s="1"/>
  <c r="F79" i="51"/>
  <c r="T43" i="87"/>
  <c r="X40" i="87"/>
  <c r="Z40" i="87" s="1"/>
  <c r="N31" i="37"/>
  <c r="H36" i="37"/>
  <c r="N36" i="37" s="1"/>
  <c r="D120" i="36"/>
  <c r="L116" i="36"/>
  <c r="N116" i="36" s="1"/>
  <c r="F116" i="36"/>
  <c r="D88" i="24"/>
  <c r="L84" i="24"/>
  <c r="N84" i="24" s="1"/>
  <c r="F84" i="24"/>
  <c r="L31" i="72"/>
  <c r="P36" i="46"/>
  <c r="X31" i="46"/>
  <c r="L67" i="59"/>
  <c r="N67" i="59" s="1"/>
  <c r="H36" i="38"/>
  <c r="N36" i="38" s="1"/>
  <c r="N31" i="38"/>
  <c r="J81" i="68"/>
  <c r="N31" i="8"/>
  <c r="H36" i="8"/>
  <c r="N36" i="8" s="1"/>
  <c r="L31" i="37"/>
  <c r="H36" i="46"/>
  <c r="N36" i="46" s="1"/>
  <c r="N31" i="46"/>
  <c r="J96" i="89"/>
  <c r="P123" i="30"/>
  <c r="X119" i="30"/>
  <c r="Z119" i="30" s="1"/>
  <c r="R119" i="30"/>
  <c r="P110" i="42"/>
  <c r="X106" i="42"/>
  <c r="Z106" i="42" s="1"/>
  <c r="R106" i="42"/>
  <c r="Z31" i="52"/>
  <c r="T36" i="52"/>
  <c r="Z36" i="52" s="1"/>
  <c r="X31" i="6"/>
  <c r="H99" i="91"/>
  <c r="J96" i="91"/>
  <c r="P36" i="50"/>
  <c r="X31" i="50"/>
  <c r="D36" i="17"/>
  <c r="L36" i="17" s="1"/>
  <c r="L31" i="17"/>
  <c r="D40" i="87"/>
  <c r="L36" i="87"/>
  <c r="N36" i="87" s="1"/>
  <c r="F36" i="87"/>
  <c r="D82" i="48"/>
  <c r="L79" i="48"/>
  <c r="N79" i="48" s="1"/>
  <c r="F79" i="48"/>
  <c r="P179" i="3"/>
  <c r="X175" i="3"/>
  <c r="Z175" i="3" s="1"/>
  <c r="R175" i="3"/>
  <c r="H114" i="67"/>
  <c r="J111" i="67"/>
  <c r="H113" i="42"/>
  <c r="J110" i="42"/>
  <c r="X33" i="86"/>
  <c r="Z77" i="79"/>
  <c r="T80" i="79"/>
  <c r="X77" i="79"/>
  <c r="P66" i="88"/>
  <c r="X66" i="88" s="1"/>
  <c r="Z66" i="88" s="1"/>
  <c r="X63" i="88"/>
  <c r="Z63" i="88" s="1"/>
  <c r="P93" i="90"/>
  <c r="X89" i="90"/>
  <c r="Z89" i="90" s="1"/>
  <c r="R89" i="90"/>
  <c r="T158" i="15"/>
  <c r="Z155" i="15"/>
  <c r="V155" i="15"/>
  <c r="N78" i="71"/>
  <c r="J78" i="71"/>
  <c r="T36" i="29"/>
  <c r="Z31" i="29"/>
  <c r="X31" i="29"/>
  <c r="D36" i="40"/>
  <c r="L36" i="40" s="1"/>
  <c r="L31" i="40"/>
  <c r="X31" i="16"/>
  <c r="H86" i="69"/>
  <c r="J83" i="69"/>
  <c r="L87" i="65"/>
  <c r="N87" i="65" s="1"/>
  <c r="D91" i="65"/>
  <c r="F87" i="65"/>
  <c r="T166" i="18"/>
  <c r="V163" i="18"/>
  <c r="H36" i="94"/>
  <c r="N36" i="94" s="1"/>
  <c r="N31" i="94"/>
  <c r="T86" i="51"/>
  <c r="V83" i="51"/>
  <c r="H58" i="85"/>
  <c r="N55" i="85"/>
  <c r="V82" i="92"/>
  <c r="T107" i="62"/>
  <c r="T114" i="67"/>
  <c r="V111" i="67"/>
  <c r="T77" i="56"/>
  <c r="X77" i="56" s="1"/>
  <c r="Z31" i="20"/>
  <c r="T36" i="20"/>
  <c r="Z36" i="20" s="1"/>
  <c r="H97" i="21"/>
  <c r="J94" i="21"/>
  <c r="X74" i="56"/>
  <c r="Z74" i="56" s="1"/>
  <c r="P36" i="28"/>
  <c r="X36" i="28" s="1"/>
  <c r="X31" i="28"/>
  <c r="P36" i="26"/>
  <c r="X31" i="26"/>
  <c r="D64" i="61"/>
  <c r="L64" i="61" s="1"/>
  <c r="L61" i="61"/>
  <c r="N61" i="61" s="1"/>
  <c r="L34" i="76"/>
  <c r="N34" i="76" s="1"/>
  <c r="D37" i="76"/>
  <c r="F34" i="76"/>
  <c r="P91" i="84"/>
  <c r="X87" i="84"/>
  <c r="Z87" i="84" s="1"/>
  <c r="P36" i="10"/>
  <c r="X36" i="10" s="1"/>
  <c r="X31" i="10"/>
  <c r="T96" i="89"/>
  <c r="V93" i="89"/>
  <c r="H36" i="23"/>
  <c r="N36" i="23" s="1"/>
  <c r="N31" i="23"/>
  <c r="P123" i="36"/>
  <c r="X120" i="36"/>
  <c r="R120" i="36"/>
  <c r="D110" i="42"/>
  <c r="L106" i="42"/>
  <c r="N106" i="42" s="1"/>
  <c r="F106" i="42"/>
  <c r="X31" i="5"/>
  <c r="P36" i="5"/>
  <c r="X36" i="5" s="1"/>
  <c r="L31" i="22"/>
  <c r="T33" i="78"/>
  <c r="Z30" i="78"/>
  <c r="X30" i="78"/>
  <c r="H36" i="25"/>
  <c r="N36" i="25" s="1"/>
  <c r="N31" i="25"/>
  <c r="D94" i="21"/>
  <c r="L90" i="21"/>
  <c r="N90" i="21" s="1"/>
  <c r="F90" i="21"/>
  <c r="P33" i="82"/>
  <c r="X30" i="82"/>
  <c r="T81" i="58"/>
  <c r="D36" i="20"/>
  <c r="L31" i="20"/>
  <c r="P38" i="55"/>
  <c r="X38" i="55" s="1"/>
  <c r="Z38" i="55" s="1"/>
  <c r="X35" i="55"/>
  <c r="Z35" i="55" s="1"/>
  <c r="Z31" i="8"/>
  <c r="T36" i="8"/>
  <c r="X31" i="8"/>
  <c r="H86" i="51"/>
  <c r="J83" i="51"/>
  <c r="D126" i="30"/>
  <c r="L123" i="30"/>
  <c r="F123" i="30"/>
  <c r="N31" i="53"/>
  <c r="H36" i="53"/>
  <c r="N36" i="53" s="1"/>
  <c r="P36" i="40"/>
  <c r="X31" i="40"/>
  <c r="N79" i="92"/>
  <c r="H82" i="92"/>
  <c r="J79" i="92"/>
  <c r="L31" i="38"/>
  <c r="D36" i="38"/>
  <c r="D88" i="63"/>
  <c r="L84" i="63"/>
  <c r="N84" i="63" s="1"/>
  <c r="F84" i="63"/>
  <c r="T35" i="81"/>
  <c r="H94" i="65"/>
  <c r="J91" i="65"/>
  <c r="Z31" i="31"/>
  <c r="T36" i="31"/>
  <c r="Z36" i="31" s="1"/>
  <c r="P96" i="75"/>
  <c r="X93" i="75"/>
  <c r="Z93" i="75" s="1"/>
  <c r="R93" i="75"/>
  <c r="P88" i="24"/>
  <c r="X84" i="24"/>
  <c r="Z84" i="24" s="1"/>
  <c r="R84" i="24"/>
  <c r="P107" i="62"/>
  <c r="X107" i="62" s="1"/>
  <c r="X104" i="62"/>
  <c r="Z104" i="62" s="1"/>
  <c r="T36" i="53"/>
  <c r="Z36" i="53" s="1"/>
  <c r="Z31" i="53"/>
  <c r="P36" i="43"/>
  <c r="X31" i="43"/>
  <c r="D36" i="95"/>
  <c r="L31" i="95"/>
  <c r="D36" i="13"/>
  <c r="L31" i="13"/>
  <c r="T36" i="17"/>
  <c r="Z36" i="17" s="1"/>
  <c r="Z31" i="17"/>
  <c r="P38" i="64"/>
  <c r="X38" i="64" s="1"/>
  <c r="X35" i="64"/>
  <c r="Z35" i="64" s="1"/>
  <c r="T36" i="4"/>
  <c r="Z36" i="4" s="1"/>
  <c r="Z31" i="4"/>
  <c r="H36" i="43"/>
  <c r="N36" i="43" s="1"/>
  <c r="N31" i="43"/>
  <c r="D91" i="74"/>
  <c r="L88" i="74"/>
  <c r="F88" i="74"/>
  <c r="H94" i="27"/>
  <c r="J91" i="27"/>
  <c r="P78" i="71"/>
  <c r="X78" i="71" s="1"/>
  <c r="X75" i="71"/>
  <c r="Z75" i="71" s="1"/>
  <c r="Z31" i="11"/>
  <c r="T36" i="11"/>
  <c r="Z36" i="11" s="1"/>
  <c r="D36" i="52"/>
  <c r="L36" i="52" s="1"/>
  <c r="L31" i="52"/>
  <c r="P91" i="74"/>
  <c r="X88" i="74"/>
  <c r="Z88" i="74" s="1"/>
  <c r="R88" i="74"/>
  <c r="H91" i="24"/>
  <c r="J88" i="24"/>
  <c r="T36" i="47"/>
  <c r="Z36" i="47" s="1"/>
  <c r="Z31" i="47"/>
  <c r="T33" i="82"/>
  <c r="Z33" i="82" s="1"/>
  <c r="Z30" i="82"/>
  <c r="D36" i="11"/>
  <c r="L31" i="11"/>
  <c r="P86" i="51"/>
  <c r="X83" i="51"/>
  <c r="Z83" i="51" s="1"/>
  <c r="R83" i="51"/>
  <c r="N88" i="74"/>
  <c r="H91" i="74"/>
  <c r="J88" i="74"/>
  <c r="L38" i="55"/>
  <c r="L79" i="69"/>
  <c r="N79" i="69" s="1"/>
  <c r="D83" i="69"/>
  <c r="F79" i="69"/>
  <c r="P96" i="91"/>
  <c r="X92" i="91"/>
  <c r="Z92" i="91" s="1"/>
  <c r="R92" i="91"/>
  <c r="L77" i="79"/>
  <c r="N77" i="79" s="1"/>
  <c r="D80" i="79"/>
  <c r="L80" i="79" s="1"/>
  <c r="N80" i="79" s="1"/>
  <c r="X58" i="85"/>
  <c r="Z120" i="36"/>
  <c r="T123" i="36"/>
  <c r="V120" i="36"/>
  <c r="N31" i="11"/>
  <c r="H36" i="11"/>
  <c r="N36" i="11" s="1"/>
  <c r="P166" i="18"/>
  <c r="X163" i="18"/>
  <c r="Z163" i="18" s="1"/>
  <c r="R163" i="18"/>
  <c r="T36" i="35"/>
  <c r="Z36" i="35" s="1"/>
  <c r="Z31" i="35"/>
  <c r="N35" i="81"/>
  <c r="H43" i="87"/>
  <c r="P94" i="77"/>
  <c r="X90" i="77"/>
  <c r="Z90" i="77" s="1"/>
  <c r="R90" i="77"/>
  <c r="L31" i="26"/>
  <c r="D36" i="26"/>
  <c r="D93" i="75"/>
  <c r="L89" i="75"/>
  <c r="N89" i="75" s="1"/>
  <c r="F89" i="75"/>
  <c r="T36" i="46"/>
  <c r="Z36" i="46" s="1"/>
  <c r="Z31" i="46"/>
  <c r="D36" i="43"/>
  <c r="L31" i="43"/>
  <c r="D65" i="60"/>
  <c r="L65" i="60" s="1"/>
  <c r="N65" i="60" s="1"/>
  <c r="L62" i="60"/>
  <c r="N62" i="60" s="1"/>
  <c r="P81" i="58"/>
  <c r="X81" i="58" s="1"/>
  <c r="X78" i="58"/>
  <c r="Z78" i="58" s="1"/>
  <c r="J91" i="63"/>
  <c r="Z38" i="64"/>
  <c r="P94" i="65"/>
  <c r="X91" i="65"/>
  <c r="Z91" i="65" s="1"/>
  <c r="R91" i="65"/>
  <c r="N31" i="54"/>
  <c r="Z64" i="61"/>
  <c r="P72" i="57"/>
  <c r="X72" i="57" s="1"/>
  <c r="Z72" i="57" s="1"/>
  <c r="X69" i="57"/>
  <c r="Z69" i="57" s="1"/>
  <c r="H81" i="33"/>
  <c r="N78" i="33"/>
  <c r="J78" i="33"/>
  <c r="D163" i="18"/>
  <c r="L159" i="18"/>
  <c r="N159" i="18" s="1"/>
  <c r="F159" i="18"/>
  <c r="T104" i="45"/>
  <c r="V101" i="45"/>
  <c r="P83" i="69"/>
  <c r="X79" i="69"/>
  <c r="Z79" i="69" s="1"/>
  <c r="R79" i="69"/>
  <c r="D102" i="9"/>
  <c r="L99" i="9"/>
  <c r="D93" i="90"/>
  <c r="L89" i="90"/>
  <c r="N89" i="90" s="1"/>
  <c r="F89" i="90"/>
  <c r="H72" i="57"/>
  <c r="L72" i="57" s="1"/>
  <c r="P36" i="38"/>
  <c r="X31" i="38"/>
  <c r="T36" i="49"/>
  <c r="Z36" i="49" s="1"/>
  <c r="Z31" i="49"/>
  <c r="P96" i="89"/>
  <c r="X93" i="89"/>
  <c r="Z93" i="89" s="1"/>
  <c r="R93" i="89"/>
  <c r="T36" i="43"/>
  <c r="Z36" i="43" s="1"/>
  <c r="Z31" i="43"/>
  <c r="T36" i="95"/>
  <c r="Z36" i="95" s="1"/>
  <c r="Z31" i="95"/>
  <c r="H107" i="62"/>
  <c r="N104" i="62"/>
  <c r="L36" i="7"/>
  <c r="D91" i="84"/>
  <c r="L87" i="84"/>
  <c r="N87" i="84" s="1"/>
  <c r="H36" i="16"/>
  <c r="N36" i="16" s="1"/>
  <c r="N31" i="16"/>
  <c r="Z31" i="26"/>
  <c r="T36" i="26"/>
  <c r="Z36" i="26" s="1"/>
  <c r="J32" i="73"/>
  <c r="L35" i="55"/>
  <c r="N35" i="55" s="1"/>
  <c r="P36" i="17"/>
  <c r="X31" i="17"/>
  <c r="H37" i="80"/>
  <c r="N34" i="80"/>
  <c r="H166" i="18"/>
  <c r="J163" i="18"/>
  <c r="X55" i="85"/>
  <c r="Z55" i="85" s="1"/>
  <c r="D101" i="45"/>
  <c r="L97" i="45"/>
  <c r="N97" i="45" s="1"/>
  <c r="F97" i="45"/>
  <c r="P65" i="60"/>
  <c r="X65" i="60" s="1"/>
  <c r="Z65" i="60" s="1"/>
  <c r="X62" i="60"/>
  <c r="Z62" i="60" s="1"/>
  <c r="N64" i="61"/>
  <c r="P81" i="68"/>
  <c r="X78" i="68"/>
  <c r="Z78" i="68" s="1"/>
  <c r="R78" i="68"/>
  <c r="H116" i="39"/>
  <c r="J113" i="39"/>
  <c r="D116" i="39"/>
  <c r="L113" i="39"/>
  <c r="N113" i="39" s="1"/>
  <c r="F113" i="39"/>
  <c r="X31" i="20"/>
  <c r="P31" i="72"/>
  <c r="X31" i="72" s="1"/>
  <c r="X28" i="72"/>
  <c r="N99" i="9"/>
  <c r="H102" i="9"/>
  <c r="L31" i="8"/>
  <c r="D36" i="8"/>
  <c r="H94" i="84"/>
  <c r="J91" i="84"/>
  <c r="N31" i="13"/>
  <c r="H36" i="13"/>
  <c r="N36" i="13" s="1"/>
  <c r="D36" i="28"/>
  <c r="L36" i="28" s="1"/>
  <c r="L31" i="28"/>
  <c r="X31" i="49"/>
  <c r="L92" i="91"/>
  <c r="N92" i="91" s="1"/>
  <c r="D96" i="91"/>
  <c r="F92" i="91"/>
  <c r="D36" i="93"/>
  <c r="L36" i="93" s="1"/>
  <c r="L31" i="93"/>
  <c r="Z31" i="38"/>
  <c r="T36" i="38"/>
  <c r="Z36" i="38" s="1"/>
  <c r="D33" i="86"/>
  <c r="L33" i="86" s="1"/>
  <c r="L30" i="86"/>
  <c r="N30" i="86" s="1"/>
  <c r="D33" i="82"/>
  <c r="L33" i="82" s="1"/>
  <c r="L30" i="82"/>
  <c r="X87" i="27"/>
  <c r="Z87" i="27" s="1"/>
  <c r="P91" i="27"/>
  <c r="R87" i="27"/>
  <c r="D111" i="67"/>
  <c r="L107" i="67"/>
  <c r="N107" i="67" s="1"/>
  <c r="F107" i="67"/>
  <c r="P36" i="23"/>
  <c r="X36" i="23" s="1"/>
  <c r="X31" i="23"/>
  <c r="P101" i="45"/>
  <c r="X97" i="45"/>
  <c r="Z97" i="45" s="1"/>
  <c r="R97" i="45"/>
  <c r="T94" i="84"/>
  <c r="V91" i="84"/>
  <c r="P35" i="81"/>
  <c r="X35" i="81" s="1"/>
  <c r="X32" i="81"/>
  <c r="Z32" i="81" s="1"/>
  <c r="L31" i="94"/>
  <c r="D36" i="94"/>
  <c r="T86" i="69"/>
  <c r="V83" i="69"/>
  <c r="T37" i="80"/>
  <c r="Z34" i="80"/>
  <c r="N31" i="41"/>
  <c r="H36" i="41"/>
  <c r="N36" i="41" s="1"/>
  <c r="D36" i="41"/>
  <c r="L31" i="41"/>
  <c r="D29" i="73"/>
  <c r="L25" i="73"/>
  <c r="N25" i="73" s="1"/>
  <c r="F25" i="73"/>
  <c r="P36" i="25"/>
  <c r="X36" i="25" s="1"/>
  <c r="X31" i="25"/>
  <c r="T37" i="76"/>
  <c r="V34" i="76"/>
  <c r="H36" i="26"/>
  <c r="N36" i="26" s="1"/>
  <c r="N31" i="26"/>
  <c r="X82" i="92"/>
  <c r="Z82" i="92" s="1"/>
  <c r="R82" i="92"/>
  <c r="P36" i="22"/>
  <c r="X36" i="22" s="1"/>
  <c r="X31" i="22"/>
  <c r="J158" i="15"/>
  <c r="T36" i="50"/>
  <c r="Z36" i="50" s="1"/>
  <c r="Z31" i="50"/>
  <c r="D97" i="77"/>
  <c r="L94" i="77"/>
  <c r="N94" i="77" s="1"/>
  <c r="F94" i="77"/>
  <c r="D184" i="3"/>
  <c r="L179" i="3"/>
  <c r="N179" i="3" s="1"/>
  <c r="F179" i="3"/>
  <c r="P37" i="76"/>
  <c r="X34" i="76"/>
  <c r="Z34" i="76" s="1"/>
  <c r="R34" i="76"/>
  <c r="D96" i="83"/>
  <c r="L92" i="83"/>
  <c r="N92" i="83" s="1"/>
  <c r="F92" i="83"/>
  <c r="N123" i="30"/>
  <c r="H126" i="30"/>
  <c r="J123" i="30"/>
  <c r="N35" i="64"/>
  <c r="H38" i="64"/>
  <c r="V94" i="27"/>
  <c r="J37" i="76"/>
  <c r="Z36" i="32"/>
  <c r="X36" i="32"/>
  <c r="Z99" i="9"/>
  <c r="T102" i="9"/>
  <c r="X99" i="9"/>
  <c r="H96" i="90"/>
  <c r="J93" i="90"/>
  <c r="X36" i="37"/>
  <c r="D36" i="23"/>
  <c r="L31" i="23"/>
  <c r="L31" i="46"/>
  <c r="J99" i="83"/>
  <c r="D162" i="12"/>
  <c r="L158" i="12"/>
  <c r="N158" i="12" s="1"/>
  <c r="F158" i="12"/>
  <c r="N31" i="47"/>
  <c r="H36" i="47"/>
  <c r="N36" i="47" s="1"/>
  <c r="X82" i="48"/>
  <c r="Z82" i="48" s="1"/>
  <c r="R82" i="48"/>
  <c r="D36" i="50"/>
  <c r="L36" i="50" s="1"/>
  <c r="L31" i="50"/>
  <c r="T81" i="33"/>
  <c r="V78" i="33"/>
  <c r="N26" i="6"/>
  <c r="H31" i="6"/>
  <c r="T96" i="90"/>
  <c r="V93" i="90"/>
  <c r="L69" i="57"/>
  <c r="N69" i="57" s="1"/>
  <c r="P36" i="14"/>
  <c r="X36" i="14" s="1"/>
  <c r="X31" i="14"/>
  <c r="L36" i="34" l="1"/>
  <c r="X36" i="20"/>
  <c r="L36" i="43"/>
  <c r="X36" i="13"/>
  <c r="L36" i="23"/>
  <c r="X36" i="49"/>
  <c r="L36" i="4"/>
  <c r="X36" i="16"/>
  <c r="X36" i="53"/>
  <c r="X36" i="93"/>
  <c r="L36" i="41"/>
  <c r="L36" i="38"/>
  <c r="X36" i="17"/>
  <c r="X36" i="34"/>
  <c r="L36" i="22"/>
  <c r="L36" i="8"/>
  <c r="L36" i="95"/>
  <c r="L36" i="37"/>
  <c r="L36" i="20"/>
  <c r="L36" i="94"/>
  <c r="X36" i="40"/>
  <c r="V96" i="90"/>
  <c r="V81" i="33"/>
  <c r="X102" i="9"/>
  <c r="Z102" i="9" s="1"/>
  <c r="D99" i="83"/>
  <c r="L96" i="83"/>
  <c r="N96" i="83" s="1"/>
  <c r="F96" i="83"/>
  <c r="L96" i="91"/>
  <c r="N96" i="91" s="1"/>
  <c r="D99" i="91"/>
  <c r="F96" i="91"/>
  <c r="L93" i="90"/>
  <c r="N93" i="90" s="1"/>
  <c r="D96" i="90"/>
  <c r="F93" i="90"/>
  <c r="V104" i="45"/>
  <c r="L36" i="11"/>
  <c r="J91" i="24"/>
  <c r="P91" i="24"/>
  <c r="X88" i="24"/>
  <c r="Z88" i="24" s="1"/>
  <c r="R88" i="24"/>
  <c r="X33" i="82"/>
  <c r="D113" i="42"/>
  <c r="L110" i="42"/>
  <c r="N110" i="42" s="1"/>
  <c r="F110" i="42"/>
  <c r="X36" i="46"/>
  <c r="L107" i="62"/>
  <c r="N107" i="62" s="1"/>
  <c r="L31" i="6"/>
  <c r="N31" i="6" s="1"/>
  <c r="V97" i="21"/>
  <c r="X36" i="19"/>
  <c r="V184" i="3"/>
  <c r="P116" i="39"/>
  <c r="X113" i="39"/>
  <c r="Z113" i="39" s="1"/>
  <c r="R113" i="39"/>
  <c r="L97" i="77"/>
  <c r="F97" i="77"/>
  <c r="D104" i="45"/>
  <c r="L101" i="45"/>
  <c r="N101" i="45" s="1"/>
  <c r="F101" i="45"/>
  <c r="P97" i="77"/>
  <c r="X94" i="77"/>
  <c r="Z94" i="77" s="1"/>
  <c r="R94" i="77"/>
  <c r="X166" i="18"/>
  <c r="R166" i="18"/>
  <c r="X36" i="43"/>
  <c r="N82" i="92"/>
  <c r="J82" i="92"/>
  <c r="L126" i="30"/>
  <c r="F126" i="30"/>
  <c r="V96" i="89"/>
  <c r="V158" i="15"/>
  <c r="X80" i="79"/>
  <c r="Z80" i="79" s="1"/>
  <c r="J114" i="67"/>
  <c r="J99" i="91"/>
  <c r="Z33" i="86"/>
  <c r="J165" i="12"/>
  <c r="Z78" i="71"/>
  <c r="V78" i="71"/>
  <c r="V113" i="42"/>
  <c r="N33" i="86"/>
  <c r="L36" i="47"/>
  <c r="P114" i="67"/>
  <c r="X111" i="67"/>
  <c r="Z111" i="67" s="1"/>
  <c r="R111" i="67"/>
  <c r="L102" i="9"/>
  <c r="J91" i="74"/>
  <c r="L91" i="74"/>
  <c r="N91" i="74" s="1"/>
  <c r="F91" i="74"/>
  <c r="Z35" i="81"/>
  <c r="Z33" i="78"/>
  <c r="X33" i="78"/>
  <c r="V114" i="67"/>
  <c r="L91" i="65"/>
  <c r="N91" i="65" s="1"/>
  <c r="D94" i="65"/>
  <c r="F91" i="65"/>
  <c r="D43" i="87"/>
  <c r="L40" i="87"/>
  <c r="N40" i="87" s="1"/>
  <c r="F40" i="87"/>
  <c r="P126" i="30"/>
  <c r="X123" i="30"/>
  <c r="Z123" i="30" s="1"/>
  <c r="R123" i="30"/>
  <c r="J104" i="45"/>
  <c r="V97" i="77"/>
  <c r="J123" i="36"/>
  <c r="L36" i="16"/>
  <c r="X36" i="52"/>
  <c r="L36" i="46"/>
  <c r="D81" i="68"/>
  <c r="L78" i="68"/>
  <c r="N78" i="68" s="1"/>
  <c r="F78" i="68"/>
  <c r="L36" i="53"/>
  <c r="L37" i="80"/>
  <c r="N37" i="80" s="1"/>
  <c r="X37" i="76"/>
  <c r="R37" i="76"/>
  <c r="D32" i="73"/>
  <c r="L29" i="73"/>
  <c r="N29" i="73" s="1"/>
  <c r="F29" i="73"/>
  <c r="V94" i="84"/>
  <c r="D114" i="67"/>
  <c r="L111" i="67"/>
  <c r="N111" i="67" s="1"/>
  <c r="F111" i="67"/>
  <c r="N94" i="84"/>
  <c r="J94" i="84"/>
  <c r="X81" i="68"/>
  <c r="R81" i="68"/>
  <c r="X36" i="38"/>
  <c r="D166" i="18"/>
  <c r="L163" i="18"/>
  <c r="N163" i="18" s="1"/>
  <c r="F163" i="18"/>
  <c r="X91" i="74"/>
  <c r="R91" i="74"/>
  <c r="X96" i="75"/>
  <c r="R96" i="75"/>
  <c r="J86" i="51"/>
  <c r="D97" i="21"/>
  <c r="L94" i="21"/>
  <c r="N94" i="21" s="1"/>
  <c r="F94" i="21"/>
  <c r="X123" i="36"/>
  <c r="R123" i="36"/>
  <c r="J97" i="21"/>
  <c r="V86" i="51"/>
  <c r="Z81" i="68"/>
  <c r="V81" i="68"/>
  <c r="L82" i="92"/>
  <c r="F82" i="92"/>
  <c r="L58" i="85"/>
  <c r="N58" i="85" s="1"/>
  <c r="D96" i="89"/>
  <c r="L93" i="89"/>
  <c r="N93" i="89" s="1"/>
  <c r="F93" i="89"/>
  <c r="X36" i="35"/>
  <c r="L36" i="29"/>
  <c r="N126" i="30"/>
  <c r="J126" i="30"/>
  <c r="V86" i="69"/>
  <c r="D96" i="75"/>
  <c r="L93" i="75"/>
  <c r="N93" i="75" s="1"/>
  <c r="F93" i="75"/>
  <c r="X96" i="91"/>
  <c r="Z96" i="91" s="1"/>
  <c r="P99" i="91"/>
  <c r="R96" i="91"/>
  <c r="X36" i="26"/>
  <c r="Z107" i="62"/>
  <c r="Z36" i="29"/>
  <c r="X36" i="29"/>
  <c r="P96" i="90"/>
  <c r="X93" i="90"/>
  <c r="Z93" i="90" s="1"/>
  <c r="R93" i="90"/>
  <c r="P184" i="3"/>
  <c r="X179" i="3"/>
  <c r="Z179" i="3" s="1"/>
  <c r="R179" i="3"/>
  <c r="D91" i="24"/>
  <c r="L88" i="24"/>
  <c r="N88" i="24" s="1"/>
  <c r="F88" i="24"/>
  <c r="Z43" i="87"/>
  <c r="X43" i="87"/>
  <c r="Z96" i="75"/>
  <c r="V96" i="75"/>
  <c r="P99" i="83"/>
  <c r="X96" i="83"/>
  <c r="Z96" i="83" s="1"/>
  <c r="R96" i="83"/>
  <c r="P97" i="21"/>
  <c r="X94" i="21"/>
  <c r="Z94" i="21" s="1"/>
  <c r="R94" i="21"/>
  <c r="X36" i="4"/>
  <c r="X36" i="47"/>
  <c r="V94" i="65"/>
  <c r="D165" i="12"/>
  <c r="L162" i="12"/>
  <c r="N162" i="12" s="1"/>
  <c r="F162" i="12"/>
  <c r="P94" i="27"/>
  <c r="X91" i="27"/>
  <c r="Z91" i="27" s="1"/>
  <c r="R91" i="27"/>
  <c r="L116" i="39"/>
  <c r="F116" i="39"/>
  <c r="D94" i="84"/>
  <c r="L94" i="84" s="1"/>
  <c r="L91" i="84"/>
  <c r="N91" i="84" s="1"/>
  <c r="N72" i="57"/>
  <c r="P86" i="69"/>
  <c r="X83" i="69"/>
  <c r="Z83" i="69" s="1"/>
  <c r="R83" i="69"/>
  <c r="X94" i="65"/>
  <c r="Z94" i="65" s="1"/>
  <c r="R94" i="65"/>
  <c r="L36" i="26"/>
  <c r="Z123" i="36"/>
  <c r="V123" i="36"/>
  <c r="L36" i="13"/>
  <c r="D91" i="63"/>
  <c r="L88" i="63"/>
  <c r="N88" i="63" s="1"/>
  <c r="F88" i="63"/>
  <c r="P94" i="84"/>
  <c r="X94" i="84" s="1"/>
  <c r="Z94" i="84" s="1"/>
  <c r="X91" i="84"/>
  <c r="Z91" i="84" s="1"/>
  <c r="X36" i="95"/>
  <c r="X36" i="31"/>
  <c r="Z32" i="73"/>
  <c r="V32" i="73"/>
  <c r="X32" i="73"/>
  <c r="P81" i="33"/>
  <c r="X78" i="33"/>
  <c r="Z78" i="33" s="1"/>
  <c r="R78" i="33"/>
  <c r="Z58" i="85"/>
  <c r="L158" i="15"/>
  <c r="N158" i="15" s="1"/>
  <c r="F158" i="15"/>
  <c r="L81" i="33"/>
  <c r="F81" i="33"/>
  <c r="L36" i="49"/>
  <c r="L38" i="64"/>
  <c r="N38" i="64" s="1"/>
  <c r="J97" i="77"/>
  <c r="N97" i="77"/>
  <c r="J96" i="90"/>
  <c r="L184" i="3"/>
  <c r="N184" i="3" s="1"/>
  <c r="F184" i="3"/>
  <c r="Z37" i="76"/>
  <c r="V37" i="76"/>
  <c r="P104" i="45"/>
  <c r="X101" i="45"/>
  <c r="Z101" i="45" s="1"/>
  <c r="R101" i="45"/>
  <c r="N102" i="9"/>
  <c r="J166" i="18"/>
  <c r="N81" i="33"/>
  <c r="J81" i="33"/>
  <c r="X37" i="80"/>
  <c r="Z37" i="80" s="1"/>
  <c r="D86" i="69"/>
  <c r="L83" i="69"/>
  <c r="N83" i="69" s="1"/>
  <c r="F83" i="69"/>
  <c r="X86" i="51"/>
  <c r="Z86" i="51" s="1"/>
  <c r="R86" i="51"/>
  <c r="J94" i="27"/>
  <c r="Z36" i="8"/>
  <c r="X36" i="8"/>
  <c r="Z81" i="58"/>
  <c r="J86" i="69"/>
  <c r="J113" i="42"/>
  <c r="X36" i="50"/>
  <c r="P91" i="63"/>
  <c r="X88" i="63"/>
  <c r="Z88" i="63" s="1"/>
  <c r="R88" i="63"/>
  <c r="D94" i="27"/>
  <c r="L91" i="27"/>
  <c r="N91" i="27" s="1"/>
  <c r="F91" i="27"/>
  <c r="Z36" i="41"/>
  <c r="X36" i="41"/>
  <c r="V165" i="12"/>
  <c r="V91" i="63"/>
  <c r="P165" i="12"/>
  <c r="X162" i="12"/>
  <c r="Z162" i="12" s="1"/>
  <c r="R162" i="12"/>
  <c r="X158" i="15"/>
  <c r="Z158" i="15" s="1"/>
  <c r="R158" i="15"/>
  <c r="Z31" i="6"/>
  <c r="L36" i="19"/>
  <c r="X36" i="11"/>
  <c r="N116" i="39"/>
  <c r="J116" i="39"/>
  <c r="X96" i="89"/>
  <c r="Z96" i="89" s="1"/>
  <c r="R96" i="89"/>
  <c r="J94" i="65"/>
  <c r="L37" i="76"/>
  <c r="N37" i="76" s="1"/>
  <c r="F37" i="76"/>
  <c r="Z77" i="56"/>
  <c r="Z166" i="18"/>
  <c r="V166" i="18"/>
  <c r="L82" i="48"/>
  <c r="N82" i="48" s="1"/>
  <c r="F82" i="48"/>
  <c r="P113" i="42"/>
  <c r="X110" i="42"/>
  <c r="Z110" i="42" s="1"/>
  <c r="R110" i="42"/>
  <c r="L120" i="36"/>
  <c r="N120" i="36" s="1"/>
  <c r="D123" i="36"/>
  <c r="F120" i="36"/>
  <c r="D86" i="51"/>
  <c r="L83" i="51"/>
  <c r="N83" i="51" s="1"/>
  <c r="F83" i="51"/>
  <c r="Z91" i="74"/>
  <c r="V91" i="74"/>
  <c r="L36" i="25"/>
  <c r="L33" i="78"/>
  <c r="V126" i="30"/>
  <c r="N38" i="55"/>
  <c r="X96" i="90" l="1"/>
  <c r="Z96" i="90" s="1"/>
  <c r="R96" i="90"/>
  <c r="L81" i="68"/>
  <c r="N81" i="68" s="1"/>
  <c r="F81" i="68"/>
  <c r="L96" i="90"/>
  <c r="N96" i="90" s="1"/>
  <c r="F96" i="90"/>
  <c r="L99" i="83"/>
  <c r="N99" i="83" s="1"/>
  <c r="F99" i="83"/>
  <c r="L43" i="87"/>
  <c r="N43" i="87" s="1"/>
  <c r="F43" i="87"/>
  <c r="X113" i="42"/>
  <c r="Z113" i="42" s="1"/>
  <c r="R113" i="42"/>
  <c r="X97" i="21"/>
  <c r="Z97" i="21" s="1"/>
  <c r="R97" i="21"/>
  <c r="X104" i="45"/>
  <c r="Z104" i="45" s="1"/>
  <c r="R104" i="45"/>
  <c r="L165" i="12"/>
  <c r="N165" i="12" s="1"/>
  <c r="F165" i="12"/>
  <c r="L97" i="21"/>
  <c r="N97" i="21" s="1"/>
  <c r="F97" i="21"/>
  <c r="L94" i="65"/>
  <c r="N94" i="65" s="1"/>
  <c r="F94" i="65"/>
  <c r="X114" i="67"/>
  <c r="Z114" i="67" s="1"/>
  <c r="R114" i="67"/>
  <c r="L104" i="45"/>
  <c r="N104" i="45" s="1"/>
  <c r="F104" i="45"/>
  <c r="X116" i="39"/>
  <c r="Z116" i="39" s="1"/>
  <c r="R116" i="39"/>
  <c r="X91" i="24"/>
  <c r="Z91" i="24" s="1"/>
  <c r="R91" i="24"/>
  <c r="L91" i="24"/>
  <c r="N91" i="24" s="1"/>
  <c r="F91" i="24"/>
  <c r="L96" i="75"/>
  <c r="N96" i="75" s="1"/>
  <c r="F96" i="75"/>
  <c r="L166" i="18"/>
  <c r="N166" i="18" s="1"/>
  <c r="F166" i="18"/>
  <c r="L114" i="67"/>
  <c r="N114" i="67" s="1"/>
  <c r="F114" i="67"/>
  <c r="L32" i="73"/>
  <c r="N32" i="73" s="1"/>
  <c r="F32" i="73"/>
  <c r="X81" i="33"/>
  <c r="Z81" i="33" s="1"/>
  <c r="R81" i="33"/>
  <c r="X99" i="83"/>
  <c r="Z99" i="83" s="1"/>
  <c r="R99" i="83"/>
  <c r="L96" i="89"/>
  <c r="N96" i="89" s="1"/>
  <c r="F96" i="89"/>
  <c r="L86" i="51"/>
  <c r="N86" i="51" s="1"/>
  <c r="F86" i="51"/>
  <c r="L123" i="36"/>
  <c r="N123" i="36" s="1"/>
  <c r="F123" i="36"/>
  <c r="X126" i="30"/>
  <c r="Z126" i="30" s="1"/>
  <c r="R126" i="30"/>
  <c r="L99" i="91"/>
  <c r="N99" i="91" s="1"/>
  <c r="F99" i="91"/>
  <c r="X91" i="63"/>
  <c r="Z91" i="63" s="1"/>
  <c r="R91" i="63"/>
  <c r="X165" i="12"/>
  <c r="Z165" i="12" s="1"/>
  <c r="R165" i="12"/>
  <c r="L91" i="63"/>
  <c r="N91" i="63" s="1"/>
  <c r="F91" i="63"/>
  <c r="X184" i="3"/>
  <c r="Z184" i="3" s="1"/>
  <c r="R184" i="3"/>
  <c r="L113" i="42"/>
  <c r="N113" i="42" s="1"/>
  <c r="F113" i="42"/>
  <c r="L86" i="69"/>
  <c r="N86" i="69" s="1"/>
  <c r="F86" i="69"/>
  <c r="L94" i="27"/>
  <c r="N94" i="27" s="1"/>
  <c r="F94" i="27"/>
  <c r="X86" i="69"/>
  <c r="Z86" i="69" s="1"/>
  <c r="R86" i="69"/>
  <c r="X94" i="27"/>
  <c r="Z94" i="27" s="1"/>
  <c r="R94" i="27"/>
  <c r="X99" i="91"/>
  <c r="Z99" i="91" s="1"/>
  <c r="R99" i="91"/>
  <c r="X97" i="77"/>
  <c r="Z97" i="77" s="1"/>
  <c r="R97" i="77"/>
</calcChain>
</file>

<file path=xl/sharedStrings.xml><?xml version="1.0" encoding="utf-8"?>
<sst xmlns="http://schemas.openxmlformats.org/spreadsheetml/2006/main" count="2740" uniqueCount="315">
  <si>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</si>
  <si>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</si>
  <si>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</si>
  <si>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</si>
  <si>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</si>
  <si>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</si>
  <si>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</si>
  <si>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</si>
  <si>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</si>
  <si>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</si>
  <si>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</si>
  <si>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</si>
  <si>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</si>
  <si>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</si>
  <si>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</si>
  <si>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</si>
  <si>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</si>
  <si>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</si>
  <si>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</si>
  <si>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</si>
  <si>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</si>
  <si>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</si>
  <si>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</si>
  <si>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</si>
  <si>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</si>
  <si>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</si>
  <si>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</si>
  <si>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</si>
  <si>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</si>
  <si>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</si>
  <si>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</si>
  <si>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</si>
  <si>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</si>
  <si>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</si>
  <si>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</si>
  <si>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</si>
  <si>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</si>
  <si>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</si>
  <si>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</si>
  <si>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</si>
  <si>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</si>
  <si>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</si>
  <si>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</si>
  <si>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</si>
  <si>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</si>
  <si>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</si>
  <si>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</si>
  <si>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</si>
  <si>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</si>
  <si>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</si>
  <si>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</si>
  <si>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</si>
  <si>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</si>
  <si>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</si>
  <si>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</si>
  <si>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</si>
  <si>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</si>
  <si>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</si>
  <si>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% Budget Sales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</si>
  <si>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</si>
  <si>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</si>
  <si>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</si>
  <si>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</si>
  <si>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</si>
  <si>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</si>
  <si>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</si>
  <si>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</si>
  <si>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</si>
  <si>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</si>
  <si>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</si>
  <si>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</si>
  <si>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</si>
  <si>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</si>
  <si>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</si>
  <si>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</si>
  <si>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</si>
  <si>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</si>
  <si>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</si>
  <si>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</si>
  <si>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</si>
  <si>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</si>
  <si>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</si>
  <si>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</si>
  <si>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</si>
  <si>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</si>
  <si>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</si>
  <si>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</si>
  <si>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</si>
  <si>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</si>
  <si>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</si>
  <si>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</si>
  <si>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</si>
  <si>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</si>
  <si>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</si>
  <si>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</si>
  <si>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</si>
  <si>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</si>
  <si>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</si>
  <si>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</si>
  <si>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</si>
  <si>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</si>
  <si>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</si>
  <si>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</si>
  <si>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</si>
  <si>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</si>
  <si>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</si>
  <si>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</si>
  <si>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</si>
  <si>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</si>
  <si>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</si>
  <si>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</si>
  <si>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</si>
  <si>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</si>
  <si>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</si>
  <si>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</si>
  <si>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</si>
  <si>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</si>
  <si>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</si>
  <si>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</si>
  <si>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</si>
  <si>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</si>
  <si>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</si>
  <si>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</si>
  <si>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</si>
  <si>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</si>
  <si>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</si>
  <si>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</si>
  <si>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</si>
  <si>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</si>
  <si>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</si>
  <si>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</si>
  <si>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</si>
  <si>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</si>
  <si>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</si>
  <si>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</si>
  <si>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</si>
  <si>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</si>
  <si>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</si>
  <si>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</si>
  <si>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</si>
  <si>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</si>
  <si>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</si>
  <si>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</si>
  <si>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</si>
  <si>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</si>
  <si>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</si>
  <si>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</si>
  <si>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</si>
  <si>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</si>
  <si>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</si>
  <si>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</si>
  <si>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</si>
  <si>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</si>
  <si>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</si>
  <si>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</si>
  <si>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</si>
  <si>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</si>
  <si>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</si>
  <si>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</si>
  <si>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</si>
  <si>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</si>
  <si>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</si>
  <si>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</si>
  <si>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</si>
  <si>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</si>
  <si>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</si>
  <si>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</si>
  <si>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</si>
  <si>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</si>
  <si>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</si>
  <si>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</si>
  <si>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</si>
  <si>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</si>
  <si>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</si>
  <si>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</si>
  <si>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</si>
  <si>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</si>
  <si>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</si>
  <si>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</si>
  <si>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</si>
  <si>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</si>
  <si>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</si>
  <si>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</si>
  <si>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</si>
  <si>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</si>
  <si>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</si>
  <si>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</si>
  <si>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</si>
  <si>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</si>
  <si>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</si>
  <si>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</si>
  <si>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</si>
  <si>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</si>
  <si>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</si>
  <si>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</si>
  <si>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</si>
  <si>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</si>
  <si>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</si>
  <si>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</si>
  <si>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</si>
  <si>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</si>
  <si>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</si>
  <si>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</si>
  <si>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</si>
  <si>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</si>
  <si>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</si>
  <si>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</si>
  <si>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</si>
  <si>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</si>
  <si>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</si>
  <si>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</si>
  <si>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</si>
  <si>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</si>
  <si>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</si>
  <si>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</si>
  <si>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</si>
  <si>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</si>
  <si>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</si>
  <si>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</si>
  <si>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</si>
  <si>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</si>
  <si>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</si>
  <si>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</si>
  <si>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</si>
  <si>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</si>
  <si>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</si>
  <si>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</si>
  <si>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</si>
  <si>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</si>
  <si>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</si>
  <si>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</si>
  <si>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</si>
  <si>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</si>
  <si>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</si>
  <si>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</si>
  <si>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</si>
  <si>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</si>
  <si>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</si>
  <si>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Budget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</si>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</sst>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center"/>
    </xf>
    <xf numFmtId="168" fontId="2" fillId="2" borderId="3" xfId="2" applyNumberFormat="1" applyFont="1" applyFill="1" applyBorder="1"/>
    <xf numFmtId="167" fontId="2" fillId="2" borderId="4" xfId="3" applyNumberFormat="1" applyFont="1" applyFill="1" applyBorder="1"/>
    <xf numFmtId="167" fontId="2" fillId="2" borderId="3" xfId="3" applyNumberFormat="1" applyFont="1" applyFill="1" applyBorder="1"/>
    <xf numFmtId="167" fontId="2" fillId="0" borderId="0" xfId="3" applyNumberFormat="1" applyFont="1" applyFill="1" applyBorder="1"/>
    <xf numFmtId="168" fontId="2" fillId="2" borderId="4" xfId="2" applyNumberFormat="1" applyFont="1" applyFill="1" applyBorder="1"/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"/>
    </xf>
    <xf numFmtId="167" fontId="0" fillId="0" borderId="0" xfId="0" applyNumberFormat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7" fontId="0" fillId="0" borderId="0" xfId="3" applyNumberFormat="1" applyFont="1" applyAlignment="1">
      <alignment horizontal="centerContinuous"/>
    </xf>
    <xf numFmtId="164" fontId="2" fillId="0" borderId="0" xfId="1" applyNumberFormat="1" applyFont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/>
    <xf numFmtId="167" fontId="2" fillId="2" borderId="1" xfId="0" applyNumberFormat="1" applyFont="1" applyFill="1" applyBorder="1" applyAlignment="1">
      <alignment horizontal="centerContinuous"/>
    </xf>
    <xf numFmtId="167" fontId="0" fillId="0" borderId="0" xfId="0" applyNumberFormat="1" applyFill="1"/>
    <xf numFmtId="167" fontId="2" fillId="2" borderId="1" xfId="0" applyNumberFormat="1" applyFont="1" applyFill="1" applyBorder="1" applyAlignment="1">
      <alignment horizontal="center"/>
    </xf>
    <xf numFmtId="49" fontId="2" fillId="0" borderId="0" xfId="0" applyNumberFormat="1" applyFont="1" applyFill="1"/>
    <xf numFmtId="165" fontId="0" fillId="0" borderId="0" xfId="0" applyNumberFormat="1"/>
    <xf numFmtId="0" fontId="2" fillId="0" borderId="0" xfId="0" applyFont="1" applyAlignment="1">
      <alignment horizontal="left"/>
    </xf>
    <xf numFmtId="164" fontId="2" fillId="0" borderId="0" xfId="1" applyNumberFormat="1" applyFont="1" applyFill="1" applyAlignment="1">
      <alignment horizontal="centerContinuous"/>
    </xf>
    <xf numFmtId="0" fontId="3" fillId="0" borderId="0" xfId="0" applyFont="1" applyFill="1"/>
    <xf numFmtId="0" fontId="4" fillId="0" borderId="0" xfId="0" applyFont="1"/>
    <xf numFmtId="0" fontId="2" fillId="0" borderId="0" xfId="0" applyFont="1" applyFill="1" applyBorder="1"/>
    <xf numFmtId="166" fontId="5" fillId="0" borderId="0" xfId="0" applyNumberFormat="1" applyFont="1" applyAlignment="1">
      <alignment horizontal="left"/>
    </xf>
    <xf numFmtId="0" fontId="0" fillId="0" borderId="0" xfId="0" applyBorder="1"/>
    <xf numFmtId="0" fontId="0" fillId="0" borderId="0" xfId="0" applyFill="1" applyAlignment="1">
      <alignment horizontal="centerContinuous"/>
    </xf>
    <xf numFmtId="0" fontId="5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178</v>
      </c>
      <c r="B3" s="41" t="s">
        <v>196</v>
      </c>
      <c r="C3" s="41" t="s">
        <v>239</v>
      </c>
      <c r="D3" s="41" t="s">
        <v>99</v>
      </c>
      <c r="E3" s="41" t="s">
        <v>158</v>
      </c>
      <c r="F3" s="41" t="s">
        <v>0</v>
      </c>
      <c r="G3" s="41" t="s">
        <v>179</v>
      </c>
      <c r="H3" s="41" t="s">
        <v>53</v>
      </c>
      <c r="I3" s="41" t="s">
        <v>100</v>
      </c>
      <c r="J3" s="41" t="s">
        <v>214</v>
      </c>
      <c r="K3" s="41" t="s">
        <v>138</v>
      </c>
      <c r="L3" s="41" t="s">
        <v>215</v>
      </c>
      <c r="M3" s="41" t="s">
        <v>78</v>
      </c>
      <c r="N3" s="41" t="s">
        <v>79</v>
      </c>
      <c r="O3" s="41" t="s">
        <v>180</v>
      </c>
      <c r="P3" s="41" t="s">
        <v>197</v>
      </c>
      <c r="Q3" s="41" t="s">
        <v>17</v>
      </c>
      <c r="R3" s="41" t="s">
        <v>18</v>
      </c>
      <c r="S3" s="41" t="s">
        <v>54</v>
      </c>
      <c r="T3" s="41" t="s">
        <v>216</v>
      </c>
      <c r="U3" s="41" t="s">
        <v>271</v>
      </c>
      <c r="V3" s="41" t="s">
        <v>289</v>
      </c>
      <c r="W3" s="41" t="s">
        <v>181</v>
      </c>
      <c r="X3" s="41" t="s">
        <v>272</v>
      </c>
      <c r="Y3" s="41" t="s">
        <v>102</v>
      </c>
      <c r="Z3" s="41" t="s">
        <v>253</v>
      </c>
      <c r="AA3" s="41" t="s">
        <v>159</v>
      </c>
      <c r="AB3" s="41" t="s">
        <v>273</v>
      </c>
      <c r="AC3" s="41" t="s">
        <v>19</v>
      </c>
      <c r="AD3" s="41" t="s">
        <v>103</v>
      </c>
      <c r="AE3" s="41" t="s">
        <v>160</v>
      </c>
      <c r="AF3" s="41" t="s">
        <v>104</v>
      </c>
      <c r="AG3" s="41" t="s">
        <v>198</v>
      </c>
      <c r="AH3" s="41" t="s">
        <v>38</v>
      </c>
      <c r="AI3" s="41" t="s">
        <v>274</v>
      </c>
      <c r="AJ3" s="41" t="s">
        <v>275</v>
      </c>
      <c r="AK3" s="41" t="s">
        <v>80</v>
      </c>
      <c r="AL3" s="41" t="s">
        <v>254</v>
      </c>
      <c r="AM3" s="41" t="s">
        <v>255</v>
      </c>
      <c r="AN3" s="41" t="s">
        <v>235</v>
      </c>
      <c r="AO3" s="41" t="s">
        <v>311</v>
      </c>
      <c r="AP3" s="41" t="s">
        <v>312</v>
      </c>
      <c r="AQ3" s="41" t="s">
        <v>124</v>
      </c>
      <c r="AR3" s="41" t="s">
        <v>182</v>
      </c>
      <c r="AS3" s="41" t="s">
        <v>236</v>
      </c>
      <c r="AT3" s="41" t="s">
        <v>276</v>
      </c>
      <c r="AU3" s="41" t="s">
        <v>217</v>
      </c>
      <c r="AV3" s="41" t="s">
        <v>123</v>
      </c>
      <c r="AW3" s="41" t="s">
        <v>101</v>
      </c>
      <c r="AX3" s="41" t="s">
        <v>290</v>
      </c>
      <c r="AY3" s="41" t="s">
        <v>20</v>
      </c>
      <c r="AZ3" s="41" t="s">
        <v>291</v>
      </c>
      <c r="BA3" s="41" t="s">
        <v>278</v>
      </c>
      <c r="BB3" s="41" t="s">
        <v>110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139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107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107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256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256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314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314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199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199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81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239</v>
      </c>
      <c r="B3" s="41" t="s">
        <v>296</v>
      </c>
      <c r="C3" s="41" t="s">
        <v>0</v>
      </c>
      <c r="D3" s="41" t="s">
        <v>59</v>
      </c>
      <c r="E3" s="41" t="s">
        <v>83</v>
      </c>
      <c r="F3" s="41" t="s">
        <v>24</v>
      </c>
      <c r="G3" s="41" t="s">
        <v>129</v>
      </c>
      <c r="H3" s="41" t="s">
        <v>161</v>
      </c>
      <c r="I3" s="41" t="s">
        <v>109</v>
      </c>
      <c r="J3" s="41" t="s">
        <v>240</v>
      </c>
      <c r="K3" s="41" t="s">
        <v>130</v>
      </c>
      <c r="L3" s="41" t="s">
        <v>25</v>
      </c>
      <c r="M3" s="41" t="s">
        <v>60</v>
      </c>
      <c r="N3" s="41" t="s">
        <v>41</v>
      </c>
      <c r="O3" s="41" t="s">
        <v>61</v>
      </c>
      <c r="P3" s="41" t="s">
        <v>162</v>
      </c>
      <c r="Q3" s="41" t="s">
        <v>26</v>
      </c>
      <c r="R3" s="41" t="s">
        <v>185</v>
      </c>
      <c r="S3" s="41" t="s">
        <v>186</v>
      </c>
      <c r="T3" s="41" t="s">
        <v>201</v>
      </c>
      <c r="U3" s="41" t="s">
        <v>27</v>
      </c>
      <c r="V3" s="41" t="s">
        <v>241</v>
      </c>
      <c r="W3" s="41" t="s">
        <v>259</v>
      </c>
      <c r="X3" s="41" t="s">
        <v>202</v>
      </c>
      <c r="Y3" s="41" t="s">
        <v>187</v>
      </c>
      <c r="Z3" s="41" t="s">
        <v>1</v>
      </c>
      <c r="AA3" s="41" t="s">
        <v>279</v>
      </c>
      <c r="AB3" s="41" t="s">
        <v>131</v>
      </c>
      <c r="AC3" s="41" t="s">
        <v>111</v>
      </c>
      <c r="AD3" s="41" t="s">
        <v>42</v>
      </c>
      <c r="AE3" s="41" t="s">
        <v>84</v>
      </c>
      <c r="AF3" s="41" t="s">
        <v>43</v>
      </c>
      <c r="AG3" s="41" t="s">
        <v>220</v>
      </c>
      <c r="AH3" s="41" t="s">
        <v>163</v>
      </c>
      <c r="AI3" s="41" t="s">
        <v>203</v>
      </c>
      <c r="AJ3" s="41" t="s">
        <v>63</v>
      </c>
      <c r="AK3" s="41" t="s">
        <v>132</v>
      </c>
      <c r="AL3" s="41" t="s">
        <v>297</v>
      </c>
      <c r="AM3" s="41" t="s">
        <v>204</v>
      </c>
      <c r="AN3" s="41" t="s">
        <v>64</v>
      </c>
      <c r="AO3" s="41" t="s">
        <v>28</v>
      </c>
      <c r="AP3" s="41" t="s">
        <v>205</v>
      </c>
      <c r="AQ3" s="41" t="s">
        <v>65</v>
      </c>
      <c r="AR3" s="41" t="s">
        <v>260</v>
      </c>
      <c r="AS3" s="41" t="s">
        <v>221</v>
      </c>
      <c r="AT3" s="41" t="s">
        <v>3</v>
      </c>
      <c r="AU3" s="41" t="s">
        <v>280</v>
      </c>
      <c r="AV3" s="41" t="s">
        <v>141</v>
      </c>
      <c r="AW3" s="41" t="s">
        <v>4</v>
      </c>
      <c r="AX3" s="41" t="s">
        <v>85</v>
      </c>
      <c r="AY3" s="41" t="s">
        <v>298</v>
      </c>
      <c r="AZ3" s="41" t="s">
        <v>66</v>
      </c>
      <c r="BA3" s="41" t="s">
        <v>222</v>
      </c>
      <c r="BB3" s="41" t="s">
        <v>67</v>
      </c>
      <c r="BC3" s="41" t="s">
        <v>242</v>
      </c>
      <c r="BD3" s="41" t="s">
        <v>281</v>
      </c>
      <c r="BE3" s="41" t="s">
        <v>142</v>
      </c>
      <c r="BF3" s="41" t="s">
        <v>299</v>
      </c>
      <c r="BG3" s="41" t="s">
        <v>112</v>
      </c>
      <c r="BH3" s="41" t="s">
        <v>113</v>
      </c>
      <c r="BI3" s="41" t="s">
        <v>243</v>
      </c>
      <c r="BJ3" s="41" t="s">
        <v>223</v>
      </c>
      <c r="BK3" s="41" t="s">
        <v>68</v>
      </c>
      <c r="BL3" s="41" t="s">
        <v>164</v>
      </c>
      <c r="BM3" s="41" t="s">
        <v>282</v>
      </c>
      <c r="BN3" s="41" t="s">
        <v>224</v>
      </c>
      <c r="BO3" s="41" t="s">
        <v>300</v>
      </c>
      <c r="BP3" s="41" t="s">
        <v>143</v>
      </c>
      <c r="BQ3" s="41" t="s">
        <v>225</v>
      </c>
      <c r="BR3" s="41" t="s">
        <v>133</v>
      </c>
      <c r="BS3" s="41" t="s">
        <v>206</v>
      </c>
      <c r="BT3" s="41" t="s">
        <v>69</v>
      </c>
      <c r="BU3" s="41" t="s">
        <v>226</v>
      </c>
      <c r="BV3" s="41" t="s">
        <v>261</v>
      </c>
      <c r="BW3" s="41" t="s">
        <v>301</v>
      </c>
      <c r="BX3" s="41" t="s">
        <v>165</v>
      </c>
      <c r="BY3" s="41" t="s">
        <v>283</v>
      </c>
      <c r="BZ3" s="41" t="s">
        <v>144</v>
      </c>
      <c r="CA3" s="41" t="s">
        <v>5</v>
      </c>
      <c r="CB3" s="41" t="s">
        <v>114</v>
      </c>
      <c r="CC3" s="41" t="s">
        <v>207</v>
      </c>
      <c r="CD3" s="41" t="s">
        <v>44</v>
      </c>
      <c r="CE3" s="41" t="s">
        <v>227</v>
      </c>
      <c r="CF3" s="41" t="s">
        <v>45</v>
      </c>
      <c r="CG3" s="41" t="s">
        <v>284</v>
      </c>
      <c r="CH3" s="41" t="s">
        <v>188</v>
      </c>
      <c r="CI3" s="41" t="s">
        <v>134</v>
      </c>
      <c r="CJ3" s="41" t="s">
        <v>302</v>
      </c>
      <c r="CK3" s="41" t="s">
        <v>115</v>
      </c>
      <c r="CL3" s="41" t="s">
        <v>145</v>
      </c>
      <c r="CM3" s="41" t="s">
        <v>146</v>
      </c>
      <c r="CN3" s="41" t="s">
        <v>208</v>
      </c>
      <c r="CO3" s="41" t="s">
        <v>86</v>
      </c>
      <c r="CP3" s="41" t="s">
        <v>166</v>
      </c>
      <c r="CQ3" s="41" t="s">
        <v>303</v>
      </c>
      <c r="CR3" s="41" t="s">
        <v>135</v>
      </c>
      <c r="CS3" s="41" t="s">
        <v>285</v>
      </c>
      <c r="CT3" s="41" t="s">
        <v>167</v>
      </c>
      <c r="CU3" s="41" t="s">
        <v>228</v>
      </c>
      <c r="CV3" s="41" t="s">
        <v>168</v>
      </c>
      <c r="CW3" s="41" t="s">
        <v>116</v>
      </c>
      <c r="CX3" s="41" t="s">
        <v>46</v>
      </c>
      <c r="CY3" s="41" t="s">
        <v>244</v>
      </c>
      <c r="CZ3" s="41" t="s">
        <v>262</v>
      </c>
      <c r="DA3" s="41" t="s">
        <v>6</v>
      </c>
      <c r="DB3" s="41" t="s">
        <v>87</v>
      </c>
      <c r="DC3" s="41" t="s">
        <v>147</v>
      </c>
      <c r="DD3" s="41" t="s">
        <v>7</v>
      </c>
      <c r="DE3" s="41" t="s">
        <v>8</v>
      </c>
      <c r="DF3" s="41" t="s">
        <v>189</v>
      </c>
      <c r="DG3" s="41" t="s">
        <v>47</v>
      </c>
      <c r="DH3" s="41" t="s">
        <v>229</v>
      </c>
      <c r="DI3" s="41" t="s">
        <v>88</v>
      </c>
      <c r="DJ3" s="41" t="s">
        <v>70</v>
      </c>
      <c r="DK3" s="41" t="s">
        <v>29</v>
      </c>
      <c r="DL3" s="41" t="s">
        <v>30</v>
      </c>
      <c r="DM3" s="41" t="s">
        <v>304</v>
      </c>
      <c r="DN3" s="41" t="s">
        <v>169</v>
      </c>
      <c r="DO3" s="41" t="s">
        <v>136</v>
      </c>
      <c r="DP3" s="41" t="s">
        <v>209</v>
      </c>
      <c r="DQ3" s="41" t="s">
        <v>9</v>
      </c>
      <c r="DR3" s="41" t="s">
        <v>71</v>
      </c>
      <c r="DS3" s="41" t="s">
        <v>245</v>
      </c>
      <c r="DT3" s="41" t="s">
        <v>170</v>
      </c>
      <c r="DU3" s="41" t="s">
        <v>72</v>
      </c>
      <c r="DV3" s="41" t="s">
        <v>305</v>
      </c>
      <c r="DW3" s="41" t="s">
        <v>171</v>
      </c>
      <c r="DX3" s="41" t="s">
        <v>148</v>
      </c>
      <c r="DY3" s="41" t="s">
        <v>31</v>
      </c>
      <c r="DZ3" s="41" t="s">
        <v>32</v>
      </c>
      <c r="EA3" s="41" t="s">
        <v>48</v>
      </c>
      <c r="EB3" s="41" t="s">
        <v>246</v>
      </c>
      <c r="EC3" s="41" t="s">
        <v>230</v>
      </c>
      <c r="ED3" s="41" t="s">
        <v>89</v>
      </c>
      <c r="EE3" s="41" t="s">
        <v>190</v>
      </c>
      <c r="EF3" s="41" t="s">
        <v>33</v>
      </c>
      <c r="EG3" s="41" t="s">
        <v>10</v>
      </c>
      <c r="EH3" s="41" t="s">
        <v>306</v>
      </c>
      <c r="EI3" s="41" t="s">
        <v>149</v>
      </c>
      <c r="EJ3" s="41" t="s">
        <v>49</v>
      </c>
      <c r="EK3" s="41" t="s">
        <v>11</v>
      </c>
      <c r="EL3" s="41" t="s">
        <v>90</v>
      </c>
      <c r="EM3" s="41" t="s">
        <v>73</v>
      </c>
      <c r="EN3" s="41" t="s">
        <v>210</v>
      </c>
      <c r="EO3" s="41" t="s">
        <v>231</v>
      </c>
      <c r="EP3" s="41" t="s">
        <v>286</v>
      </c>
      <c r="EQ3" s="41" t="s">
        <v>172</v>
      </c>
      <c r="ER3" s="41" t="s">
        <v>150</v>
      </c>
      <c r="ES3" s="41" t="s">
        <v>247</v>
      </c>
      <c r="ET3" s="41" t="s">
        <v>74</v>
      </c>
      <c r="EU3" s="41" t="s">
        <v>263</v>
      </c>
      <c r="EV3" s="41" t="s">
        <v>264</v>
      </c>
      <c r="EW3" s="41" t="s">
        <v>232</v>
      </c>
      <c r="EX3" s="41" t="s">
        <v>307</v>
      </c>
      <c r="EY3" s="41" t="s">
        <v>248</v>
      </c>
      <c r="EZ3" s="41" t="s">
        <v>249</v>
      </c>
      <c r="FA3" s="41" t="s">
        <v>34</v>
      </c>
      <c r="FB3" s="41" t="s">
        <v>308</v>
      </c>
      <c r="FC3" s="41" t="s">
        <v>50</v>
      </c>
      <c r="FD3" s="41" t="s">
        <v>91</v>
      </c>
      <c r="FE3" s="41" t="s">
        <v>233</v>
      </c>
      <c r="FF3" s="41" t="s">
        <v>117</v>
      </c>
      <c r="FG3" s="41" t="s">
        <v>92</v>
      </c>
      <c r="FH3" s="41" t="s">
        <v>93</v>
      </c>
      <c r="FI3" s="41" t="s">
        <v>265</v>
      </c>
      <c r="FJ3" s="41" t="s">
        <v>191</v>
      </c>
      <c r="FK3" s="41" t="s">
        <v>192</v>
      </c>
      <c r="FL3" s="41" t="s">
        <v>173</v>
      </c>
      <c r="FM3" s="41" t="s">
        <v>151</v>
      </c>
      <c r="FN3" s="41" t="s">
        <v>118</v>
      </c>
      <c r="FO3" s="41" t="s">
        <v>174</v>
      </c>
      <c r="FP3" s="41" t="s">
        <v>266</v>
      </c>
      <c r="FQ3" s="41" t="s">
        <v>250</v>
      </c>
      <c r="FR3" s="41" t="s">
        <v>211</v>
      </c>
      <c r="FS3" s="41" t="s">
        <v>287</v>
      </c>
      <c r="FT3" s="41" t="s">
        <v>152</v>
      </c>
      <c r="FU3" s="41" t="s">
        <v>12</v>
      </c>
      <c r="FV3" s="41" t="s">
        <v>193</v>
      </c>
      <c r="FW3" s="41" t="s">
        <v>94</v>
      </c>
      <c r="FX3" s="41" t="s">
        <v>153</v>
      </c>
      <c r="FY3" s="41" t="s">
        <v>175</v>
      </c>
      <c r="FZ3" s="41" t="s">
        <v>95</v>
      </c>
      <c r="GA3" s="41" t="s">
        <v>267</v>
      </c>
      <c r="GB3" s="41" t="s">
        <v>35</v>
      </c>
      <c r="GC3" s="41" t="s">
        <v>36</v>
      </c>
      <c r="GD3" s="41" t="s">
        <v>288</v>
      </c>
      <c r="GE3" s="41" t="s">
        <v>119</v>
      </c>
      <c r="GF3" s="41" t="s">
        <v>234</v>
      </c>
      <c r="GG3" s="41" t="s">
        <v>194</v>
      </c>
      <c r="GH3" s="41" t="s">
        <v>195</v>
      </c>
      <c r="GI3" s="41" t="s">
        <v>268</v>
      </c>
      <c r="GJ3" s="41" t="s">
        <v>137</v>
      </c>
      <c r="GK3" s="41" t="s">
        <v>37</v>
      </c>
      <c r="GL3" s="41" t="s">
        <v>75</v>
      </c>
      <c r="GM3" s="41" t="s">
        <v>120</v>
      </c>
      <c r="GN3" s="41" t="s">
        <v>13</v>
      </c>
      <c r="GO3" s="41" t="s">
        <v>309</v>
      </c>
      <c r="GP3" s="41" t="s">
        <v>212</v>
      </c>
      <c r="GQ3" s="41" t="s">
        <v>76</v>
      </c>
      <c r="GR3" s="41" t="s">
        <v>176</v>
      </c>
      <c r="GS3" s="41" t="s">
        <v>154</v>
      </c>
      <c r="GT3" s="41" t="s">
        <v>121</v>
      </c>
      <c r="GU3" s="41" t="s">
        <v>251</v>
      </c>
      <c r="GV3" s="41" t="s">
        <v>51</v>
      </c>
      <c r="GW3" s="41" t="s">
        <v>14</v>
      </c>
      <c r="GX3" s="41" t="s">
        <v>310</v>
      </c>
      <c r="GY3" s="41" t="s">
        <v>96</v>
      </c>
      <c r="GZ3" s="41" t="s">
        <v>269</v>
      </c>
      <c r="HA3" s="41" t="s">
        <v>177</v>
      </c>
      <c r="HB3" s="41" t="s">
        <v>213</v>
      </c>
      <c r="HC3" s="41" t="s">
        <v>252</v>
      </c>
      <c r="HD3" s="41" t="s">
        <v>155</v>
      </c>
      <c r="HE3" s="41" t="s">
        <v>15</v>
      </c>
      <c r="HF3" s="41" t="s">
        <v>97</v>
      </c>
      <c r="HG3" s="41" t="s">
        <v>98</v>
      </c>
      <c r="HH3" s="41" t="s">
        <v>52</v>
      </c>
      <c r="HI3" s="41" t="s">
        <v>122</v>
      </c>
      <c r="HJ3" s="41" t="s">
        <v>270</v>
      </c>
      <c r="HK3" s="41"/>
      <c r="HL3" s="41" t="s">
        <v>2</v>
      </c>
      <c r="HM3" s="67"/>
      <c r="HN3" s="41" t="s">
        <v>278</v>
      </c>
      <c r="HO3" s="41" t="s">
        <v>110</v>
      </c>
      <c r="HP3" t="s">
        <v>62</v>
      </c>
      <c r="JK3" s="41" t="s">
        <v>16</v>
      </c>
      <c r="JL3" s="41" t="s">
        <v>156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77</v>
      </c>
      <c r="JL10002" s="41" t="s">
        <v>157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81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21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21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22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22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125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125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200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200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55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2:Z189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313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2529009.2400000002</v>
      </c>
      <c r="E12" s="4"/>
      <c r="F12" s="12"/>
      <c r="G12" s="4"/>
      <c r="H12" s="4">
        <f>SUM(OSRRefH13x_0)</f>
        <v>2154714</v>
      </c>
      <c r="I12" s="4"/>
      <c r="J12" s="12"/>
      <c r="K12" s="4"/>
      <c r="L12" s="4">
        <f t="shared" ref="L12:L23" si="0">+D12-H12</f>
        <v>374295.24000000022</v>
      </c>
      <c r="M12" s="4"/>
      <c r="N12" s="12">
        <f t="shared" ref="N12:N23" si="1">IF(H12=0,0,L12/H12)</f>
        <v>0.1737099401591117</v>
      </c>
      <c r="O12" s="10"/>
      <c r="P12" s="4">
        <f>SUM(OSRRefP13x_0)</f>
        <v>7871294.5200000005</v>
      </c>
      <c r="Q12" s="4"/>
      <c r="R12" s="12"/>
      <c r="S12" s="4"/>
      <c r="T12" s="4">
        <f>SUM(OSRRefT13x_0)</f>
        <v>8834261</v>
      </c>
      <c r="U12" s="4"/>
      <c r="V12" s="12"/>
      <c r="W12" s="4"/>
      <c r="X12" s="4">
        <f t="shared" ref="X12:X23" si="2">+P12-T12</f>
        <v>-962966.47999999952</v>
      </c>
      <c r="Y12" s="4"/>
      <c r="Z12" s="12">
        <f t="shared" ref="Z12:Z23" si="3">IF(T12=0,0,X12/T12)</f>
        <v>-0.10900362577016906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--566965.46</f>
        <v>566965.46</v>
      </c>
      <c r="E13" s="2"/>
      <c r="F13" s="19"/>
      <c r="G13" s="2"/>
      <c r="H13" s="2">
        <v>492800</v>
      </c>
      <c r="I13" s="2"/>
      <c r="J13" s="19"/>
      <c r="K13" s="2"/>
      <c r="L13" s="2">
        <f t="shared" si="0"/>
        <v>74165.459999999963</v>
      </c>
      <c r="M13" s="2"/>
      <c r="N13" s="19">
        <f t="shared" si="1"/>
        <v>0.15049809253246746</v>
      </c>
      <c r="O13" s="11"/>
      <c r="P13" s="2">
        <f>--2960341.21</f>
        <v>2960341.21</v>
      </c>
      <c r="Q13" s="2"/>
      <c r="R13" s="19"/>
      <c r="S13" s="2"/>
      <c r="T13" s="2">
        <v>5242533</v>
      </c>
      <c r="U13" s="2"/>
      <c r="V13" s="19"/>
      <c r="W13" s="2"/>
      <c r="X13" s="2">
        <f t="shared" si="2"/>
        <v>-2282191.79</v>
      </c>
      <c r="Y13" s="2"/>
      <c r="Z13" s="19">
        <f t="shared" si="3"/>
        <v>-0.43532235085596982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--39274.26</f>
        <v>39274.26</v>
      </c>
      <c r="E14" s="2"/>
      <c r="F14" s="19"/>
      <c r="G14" s="2"/>
      <c r="H14" s="2"/>
      <c r="I14" s="2"/>
      <c r="J14" s="19"/>
      <c r="K14" s="2"/>
      <c r="L14" s="2">
        <f t="shared" si="0"/>
        <v>39274.26</v>
      </c>
      <c r="M14" s="2"/>
      <c r="N14" s="19">
        <f t="shared" si="1"/>
        <v>0</v>
      </c>
      <c r="O14" s="11"/>
      <c r="P14" s="2">
        <f>--104250.57</f>
        <v>104250.57</v>
      </c>
      <c r="Q14" s="2"/>
      <c r="R14" s="19"/>
      <c r="S14" s="2"/>
      <c r="T14" s="2"/>
      <c r="U14" s="2"/>
      <c r="V14" s="19"/>
      <c r="W14" s="2"/>
      <c r="X14" s="2">
        <f t="shared" si="2"/>
        <v>104250.57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--5315.1</f>
        <v>5315.1</v>
      </c>
      <c r="E15" s="2"/>
      <c r="F15" s="19"/>
      <c r="G15" s="2"/>
      <c r="H15" s="2"/>
      <c r="I15" s="2"/>
      <c r="J15" s="19"/>
      <c r="K15" s="2"/>
      <c r="L15" s="2">
        <f t="shared" si="0"/>
        <v>5315.1</v>
      </c>
      <c r="M15" s="2"/>
      <c r="N15" s="19">
        <f t="shared" si="1"/>
        <v>0</v>
      </c>
      <c r="O15" s="11"/>
      <c r="P15" s="2">
        <f>--6589.12</f>
        <v>6589.12</v>
      </c>
      <c r="Q15" s="2"/>
      <c r="R15" s="19"/>
      <c r="S15" s="2"/>
      <c r="T15" s="2"/>
      <c r="U15" s="2"/>
      <c r="V15" s="19"/>
      <c r="W15" s="2"/>
      <c r="X15" s="2">
        <f t="shared" si="2"/>
        <v>6589.12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--234443.72</f>
        <v>234443.72</v>
      </c>
      <c r="E16" s="2"/>
      <c r="F16" s="19"/>
      <c r="G16" s="2"/>
      <c r="H16" s="2">
        <v>1661914</v>
      </c>
      <c r="I16" s="2"/>
      <c r="J16" s="19"/>
      <c r="K16" s="2"/>
      <c r="L16" s="2">
        <f t="shared" si="0"/>
        <v>-1427470.28</v>
      </c>
      <c r="M16" s="2"/>
      <c r="N16" s="19">
        <f t="shared" si="1"/>
        <v>-0.85893149705700778</v>
      </c>
      <c r="O16" s="11"/>
      <c r="P16" s="2">
        <f>--1189731.72</f>
        <v>1189731.72</v>
      </c>
      <c r="Q16" s="2"/>
      <c r="R16" s="19"/>
      <c r="S16" s="2"/>
      <c r="T16" s="2">
        <v>3591728</v>
      </c>
      <c r="U16" s="2"/>
      <c r="V16" s="19"/>
      <c r="W16" s="2"/>
      <c r="X16" s="2">
        <f t="shared" si="2"/>
        <v>-2401996.2800000003</v>
      </c>
      <c r="Y16" s="2"/>
      <c r="Z16" s="19">
        <f t="shared" si="3"/>
        <v>-0.66875784580569586</v>
      </c>
    </row>
    <row r="17" spans="1:26" s="24" customFormat="1" hidden="1" outlineLevel="1" x14ac:dyDescent="0.25">
      <c r="A17" s="44"/>
      <c r="B17" s="11" t="str">
        <f>CONCATENATE("          ", "4141", " - ", "NON-TAXABLE SALES-LOGO GIFTS")</f>
        <v xml:space="preserve">          4141 - NON-TAXABLE SALES-LOGO GIFTS</v>
      </c>
      <c r="C17" s="11"/>
      <c r="D17" s="2">
        <f>-460.55</f>
        <v>-460.55</v>
      </c>
      <c r="E17" s="2"/>
      <c r="F17" s="19"/>
      <c r="G17" s="2"/>
      <c r="H17" s="2"/>
      <c r="I17" s="2"/>
      <c r="J17" s="19"/>
      <c r="K17" s="2"/>
      <c r="L17" s="2">
        <f t="shared" si="0"/>
        <v>-460.55</v>
      </c>
      <c r="M17" s="2"/>
      <c r="N17" s="19">
        <f t="shared" si="1"/>
        <v>0</v>
      </c>
      <c r="O17" s="11"/>
      <c r="P17" s="2">
        <f t="shared" ref="P17:P18" si="4">0</f>
        <v>0</v>
      </c>
      <c r="Q17" s="2"/>
      <c r="R17" s="19"/>
      <c r="S17" s="2"/>
      <c r="T17" s="2"/>
      <c r="U17" s="2"/>
      <c r="V17" s="19"/>
      <c r="W17" s="2"/>
      <c r="X17" s="2">
        <f t="shared" si="2"/>
        <v>0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"4146", " - ", "NON-TAXABLE SALES-COIN OP MACH")</f>
        <v xml:space="preserve">          4146 - NON-TAXABLE SALES-COIN OP MACH</v>
      </c>
      <c r="C18" s="11"/>
      <c r="D18" s="2">
        <f>-7492.95</f>
        <v>-7492.95</v>
      </c>
      <c r="E18" s="2"/>
      <c r="F18" s="19"/>
      <c r="G18" s="2"/>
      <c r="H18" s="2"/>
      <c r="I18" s="2"/>
      <c r="J18" s="19"/>
      <c r="K18" s="2"/>
      <c r="L18" s="2">
        <f t="shared" si="0"/>
        <v>-7492.95</v>
      </c>
      <c r="M18" s="2"/>
      <c r="N18" s="19">
        <f t="shared" si="1"/>
        <v>0</v>
      </c>
      <c r="O18" s="11"/>
      <c r="P18" s="2">
        <f t="shared" si="4"/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--1734326.4</f>
        <v>1734326.4</v>
      </c>
      <c r="E19" s="2"/>
      <c r="F19" s="19"/>
      <c r="G19" s="2"/>
      <c r="H19" s="2"/>
      <c r="I19" s="2"/>
      <c r="J19" s="19"/>
      <c r="K19" s="2"/>
      <c r="L19" s="2">
        <f t="shared" si="0"/>
        <v>1734326.4</v>
      </c>
      <c r="M19" s="2"/>
      <c r="N19" s="19">
        <f t="shared" si="1"/>
        <v>0</v>
      </c>
      <c r="O19" s="11"/>
      <c r="P19" s="2">
        <f>--3770889.88</f>
        <v>3770889.88</v>
      </c>
      <c r="Q19" s="2"/>
      <c r="R19" s="19"/>
      <c r="S19" s="2"/>
      <c r="T19" s="2"/>
      <c r="U19" s="2"/>
      <c r="V19" s="19"/>
      <c r="W19" s="2"/>
      <c r="X19" s="2">
        <f t="shared" si="2"/>
        <v>3770889.88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--12127.37</f>
        <v>12127.37</v>
      </c>
      <c r="E20" s="2"/>
      <c r="F20" s="19"/>
      <c r="G20" s="2"/>
      <c r="H20" s="2"/>
      <c r="I20" s="2"/>
      <c r="J20" s="19"/>
      <c r="K20" s="2"/>
      <c r="L20" s="2">
        <f t="shared" si="0"/>
        <v>12127.37</v>
      </c>
      <c r="M20" s="2"/>
      <c r="N20" s="19">
        <f t="shared" si="1"/>
        <v>0</v>
      </c>
      <c r="O20" s="11"/>
      <c r="P20" s="2">
        <f>--44404.7</f>
        <v>44404.7</v>
      </c>
      <c r="Q20" s="2"/>
      <c r="R20" s="19"/>
      <c r="S20" s="2"/>
      <c r="T20" s="2"/>
      <c r="U20" s="2"/>
      <c r="V20" s="19"/>
      <c r="W20" s="2"/>
      <c r="X20" s="2">
        <f t="shared" si="2"/>
        <v>44404.7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"4200", " - ", "TAXABLE RETURNS")</f>
        <v xml:space="preserve">          4200 - TAXABLE RETURNS</v>
      </c>
      <c r="C21" s="11"/>
      <c r="D21" s="2">
        <f>-42133.25</f>
        <v>-42133.25</v>
      </c>
      <c r="E21" s="2"/>
      <c r="F21" s="19"/>
      <c r="G21" s="2"/>
      <c r="H21" s="2"/>
      <c r="I21" s="2"/>
      <c r="J21" s="19"/>
      <c r="K21" s="2"/>
      <c r="L21" s="2">
        <f t="shared" si="0"/>
        <v>-42133.25</v>
      </c>
      <c r="M21" s="2"/>
      <c r="N21" s="19">
        <f t="shared" si="1"/>
        <v>0</v>
      </c>
      <c r="O21" s="11"/>
      <c r="P21" s="2">
        <f>-170760.32</f>
        <v>-170760.32000000001</v>
      </c>
      <c r="Q21" s="2"/>
      <c r="R21" s="19"/>
      <c r="S21" s="2"/>
      <c r="T21" s="2"/>
      <c r="U21" s="2"/>
      <c r="V21" s="19"/>
      <c r="W21" s="2"/>
      <c r="X21" s="2">
        <f t="shared" si="2"/>
        <v>-170760.32000000001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"4300", " - ", "NON-TAX RETURNS")</f>
        <v xml:space="preserve">          4300 - NON-TAX RETURNS</v>
      </c>
      <c r="C22" s="11"/>
      <c r="D22" s="2">
        <f>-5693.23</f>
        <v>-5693.23</v>
      </c>
      <c r="E22" s="2"/>
      <c r="F22" s="19"/>
      <c r="G22" s="2"/>
      <c r="H22" s="2"/>
      <c r="I22" s="2"/>
      <c r="J22" s="19"/>
      <c r="K22" s="2"/>
      <c r="L22" s="2">
        <f t="shared" si="0"/>
        <v>-5693.23</v>
      </c>
      <c r="M22" s="2"/>
      <c r="N22" s="19">
        <f t="shared" si="1"/>
        <v>0</v>
      </c>
      <c r="O22" s="11"/>
      <c r="P22" s="2">
        <f>-26489.27</f>
        <v>-26489.27</v>
      </c>
      <c r="Q22" s="2"/>
      <c r="R22" s="19"/>
      <c r="S22" s="2"/>
      <c r="T22" s="2"/>
      <c r="U22" s="2"/>
      <c r="V22" s="19"/>
      <c r="W22" s="2"/>
      <c r="X22" s="2">
        <f t="shared" si="2"/>
        <v>-26489.27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"4500", " - ", "SALES DISCOUNT")</f>
        <v xml:space="preserve">          4500 - SALES DISCOUNT</v>
      </c>
      <c r="C23" s="11"/>
      <c r="D23" s="2">
        <f>-7663.09</f>
        <v>-7663.09</v>
      </c>
      <c r="E23" s="2"/>
      <c r="F23" s="19"/>
      <c r="G23" s="2"/>
      <c r="H23" s="2"/>
      <c r="I23" s="2"/>
      <c r="J23" s="19"/>
      <c r="K23" s="2"/>
      <c r="L23" s="2">
        <f t="shared" si="0"/>
        <v>-7663.09</v>
      </c>
      <c r="M23" s="2"/>
      <c r="N23" s="19">
        <f t="shared" si="1"/>
        <v>0</v>
      </c>
      <c r="O23" s="11"/>
      <c r="P23" s="2">
        <f>-7663.09</f>
        <v>-7663.09</v>
      </c>
      <c r="Q23" s="2"/>
      <c r="R23" s="19"/>
      <c r="S23" s="2"/>
      <c r="T23" s="2"/>
      <c r="U23" s="2"/>
      <c r="V23" s="19"/>
      <c r="W23" s="2"/>
      <c r="X23" s="2">
        <f t="shared" si="2"/>
        <v>-7663.09</v>
      </c>
      <c r="Y23" s="2"/>
      <c r="Z23" s="19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5" t="s">
        <v>257</v>
      </c>
      <c r="C25" s="10"/>
      <c r="D25" s="4">
        <f>SUM(OSRRefD16x_0)</f>
        <v>975886.2300000001</v>
      </c>
      <c r="E25" s="4"/>
      <c r="F25" s="12">
        <f t="shared" ref="F25:F60" si="5">IF(D$12=0,0,D25/D$12)</f>
        <v>0.38587689383056584</v>
      </c>
      <c r="G25" s="4"/>
      <c r="H25" s="4">
        <f>SUM(OSRRefH16x_0)</f>
        <v>733882</v>
      </c>
      <c r="I25" s="4"/>
      <c r="J25" s="12">
        <f t="shared" ref="J25:J60" si="6">IF(H$12=0,0,H25/H$12)</f>
        <v>0.34059369364101222</v>
      </c>
      <c r="K25" s="4"/>
      <c r="L25" s="4">
        <f t="shared" ref="L25:L60" si="7">+D25-H25</f>
        <v>242004.2300000001</v>
      </c>
      <c r="M25" s="4"/>
      <c r="N25" s="12">
        <f t="shared" ref="N25:N60" si="8">IF(H25=0,0,L25/H25)</f>
        <v>0.32975904845738158</v>
      </c>
      <c r="O25" s="10"/>
      <c r="P25" s="4">
        <f>SUM(OSRRefP16x_0)</f>
        <v>3603181.2899999991</v>
      </c>
      <c r="Q25" s="4"/>
      <c r="R25" s="12">
        <f t="shared" ref="R25:R60" si="9">IF(P$12=0,0,P25/P$12)</f>
        <v>0.45776222460546412</v>
      </c>
      <c r="S25" s="4"/>
      <c r="T25" s="4">
        <f>SUM(OSRRefT16x_0)</f>
        <v>4634186</v>
      </c>
      <c r="U25" s="4"/>
      <c r="V25" s="12">
        <f t="shared" ref="V25:V60" si="10">IF(T$12=0,0,T25/T$12)</f>
        <v>0.52456974046838778</v>
      </c>
      <c r="W25" s="4"/>
      <c r="X25" s="4">
        <f t="shared" ref="X25:X60" si="11">+P25-T25</f>
        <v>-1031004.7100000009</v>
      </c>
      <c r="Y25" s="4"/>
      <c r="Z25" s="12">
        <f t="shared" ref="Z25:Z60" si="12">IF(T25=0,0,X25/T25)</f>
        <v>-0.22247805979302535</v>
      </c>
    </row>
    <row r="26" spans="1:26" s="24" customFormat="1" hidden="1" outlineLevel="1" x14ac:dyDescent="0.25">
      <c r="A26" s="44"/>
      <c r="B26" s="11" t="str">
        <f>CONCATENATE("          ", "5000", " - ", "PURCHASES @ COST")</f>
        <v xml:space="preserve">          5000 - PURCHASES @ COST</v>
      </c>
      <c r="C26" s="11"/>
      <c r="D26" s="2">
        <v>879528.49</v>
      </c>
      <c r="E26" s="2"/>
      <c r="F26" s="19">
        <f t="shared" si="5"/>
        <v>0.34777591006349978</v>
      </c>
      <c r="G26" s="2"/>
      <c r="H26" s="2">
        <v>733882</v>
      </c>
      <c r="I26" s="2"/>
      <c r="J26" s="19">
        <f t="shared" si="6"/>
        <v>0.34059369364101222</v>
      </c>
      <c r="K26" s="2"/>
      <c r="L26" s="2">
        <f t="shared" si="7"/>
        <v>145646.49</v>
      </c>
      <c r="M26" s="2"/>
      <c r="N26" s="19">
        <f t="shared" si="8"/>
        <v>0.19846036556285615</v>
      </c>
      <c r="O26" s="11"/>
      <c r="P26" s="2">
        <v>3002989.31</v>
      </c>
      <c r="Q26" s="2"/>
      <c r="R26" s="19">
        <f t="shared" si="9"/>
        <v>0.38151149120005229</v>
      </c>
      <c r="S26" s="2"/>
      <c r="T26" s="2">
        <v>4634186</v>
      </c>
      <c r="U26" s="2"/>
      <c r="V26" s="19">
        <f t="shared" si="10"/>
        <v>0.52456974046838778</v>
      </c>
      <c r="W26" s="2"/>
      <c r="X26" s="2">
        <f t="shared" si="11"/>
        <v>-1631196.69</v>
      </c>
      <c r="Y26" s="2"/>
      <c r="Z26" s="19">
        <f t="shared" si="12"/>
        <v>-0.3519920628995038</v>
      </c>
    </row>
    <row r="27" spans="1:26" s="24" customFormat="1" hidden="1" outlineLevel="1" x14ac:dyDescent="0.25">
      <c r="A27" s="44"/>
      <c r="B27" s="11" t="str">
        <f>CONCATENATE("          ", "5001", " - ", "PURCHASES @ COST-NEW TEXT")</f>
        <v xml:space="preserve">          5001 - PURCHASES @ COST-NEW TEXT</v>
      </c>
      <c r="C27" s="11"/>
      <c r="D27" s="2">
        <v>0</v>
      </c>
      <c r="E27" s="2"/>
      <c r="F27" s="19">
        <f t="shared" si="5"/>
        <v>0</v>
      </c>
      <c r="G27" s="2"/>
      <c r="H27" s="2"/>
      <c r="I27" s="2"/>
      <c r="J27" s="19">
        <f t="shared" si="6"/>
        <v>0</v>
      </c>
      <c r="K27" s="2"/>
      <c r="L27" s="2">
        <f t="shared" si="7"/>
        <v>0</v>
      </c>
      <c r="M27" s="2"/>
      <c r="N27" s="19">
        <f t="shared" si="8"/>
        <v>0</v>
      </c>
      <c r="O27" s="11"/>
      <c r="P27" s="2">
        <v>0</v>
      </c>
      <c r="Q27" s="2"/>
      <c r="R27" s="19">
        <f t="shared" si="9"/>
        <v>0</v>
      </c>
      <c r="S27" s="2"/>
      <c r="T27" s="2"/>
      <c r="U27" s="2"/>
      <c r="V27" s="19">
        <f t="shared" si="10"/>
        <v>0</v>
      </c>
      <c r="W27" s="2"/>
      <c r="X27" s="2">
        <f t="shared" si="11"/>
        <v>0</v>
      </c>
      <c r="Y27" s="2"/>
      <c r="Z27" s="19">
        <f t="shared" si="12"/>
        <v>0</v>
      </c>
    </row>
    <row r="28" spans="1:26" s="24" customFormat="1" hidden="1" outlineLevel="1" x14ac:dyDescent="0.25">
      <c r="A28" s="44"/>
      <c r="B28" s="11" t="str">
        <f>CONCATENATE("          ", "5002", " - ", "PURCHASES @ COST-USED TEXT")</f>
        <v xml:space="preserve">          5002 - PURCHASES @ COST-USED TEXT</v>
      </c>
      <c r="C28" s="11"/>
      <c r="D28" s="2"/>
      <c r="E28" s="2"/>
      <c r="F28" s="19">
        <f t="shared" si="5"/>
        <v>0</v>
      </c>
      <c r="G28" s="2"/>
      <c r="H28" s="2"/>
      <c r="I28" s="2"/>
      <c r="J28" s="19">
        <f t="shared" si="6"/>
        <v>0</v>
      </c>
      <c r="K28" s="2"/>
      <c r="L28" s="2">
        <f t="shared" si="7"/>
        <v>0</v>
      </c>
      <c r="M28" s="2"/>
      <c r="N28" s="19">
        <f t="shared" si="8"/>
        <v>0</v>
      </c>
      <c r="O28" s="11"/>
      <c r="P28" s="2">
        <v>0</v>
      </c>
      <c r="Q28" s="2"/>
      <c r="R28" s="19">
        <f t="shared" si="9"/>
        <v>0</v>
      </c>
      <c r="S28" s="2"/>
      <c r="T28" s="2"/>
      <c r="U28" s="2"/>
      <c r="V28" s="19">
        <f t="shared" si="10"/>
        <v>0</v>
      </c>
      <c r="W28" s="2"/>
      <c r="X28" s="2">
        <f t="shared" si="11"/>
        <v>0</v>
      </c>
      <c r="Y28" s="2"/>
      <c r="Z28" s="19">
        <f t="shared" si="12"/>
        <v>0</v>
      </c>
    </row>
    <row r="29" spans="1:26" s="24" customFormat="1" hidden="1" outlineLevel="1" x14ac:dyDescent="0.25">
      <c r="A29" s="44"/>
      <c r="B29" s="11" t="str">
        <f>CONCATENATE("          ", "5004", " - ", "PURCHASES @ COST-DIGITAL TEXT")</f>
        <v xml:space="preserve">          5004 - PURCHASES @ COST-DIGITAL TEXT</v>
      </c>
      <c r="C29" s="11"/>
      <c r="D29" s="2"/>
      <c r="E29" s="2"/>
      <c r="F29" s="19">
        <f t="shared" si="5"/>
        <v>0</v>
      </c>
      <c r="G29" s="2"/>
      <c r="H29" s="2"/>
      <c r="I29" s="2"/>
      <c r="J29" s="19">
        <f t="shared" si="6"/>
        <v>0</v>
      </c>
      <c r="K29" s="2"/>
      <c r="L29" s="2">
        <f t="shared" si="7"/>
        <v>0</v>
      </c>
      <c r="M29" s="2"/>
      <c r="N29" s="19">
        <f t="shared" si="8"/>
        <v>0</v>
      </c>
      <c r="O29" s="11"/>
      <c r="P29" s="2">
        <v>0</v>
      </c>
      <c r="Q29" s="2"/>
      <c r="R29" s="19">
        <f t="shared" si="9"/>
        <v>0</v>
      </c>
      <c r="S29" s="2"/>
      <c r="T29" s="2"/>
      <c r="U29" s="2"/>
      <c r="V29" s="19">
        <f t="shared" si="10"/>
        <v>0</v>
      </c>
      <c r="W29" s="2"/>
      <c r="X29" s="2">
        <f t="shared" si="11"/>
        <v>0</v>
      </c>
      <c r="Y29" s="2"/>
      <c r="Z29" s="19">
        <f t="shared" si="12"/>
        <v>0</v>
      </c>
    </row>
    <row r="30" spans="1:26" s="24" customFormat="1" hidden="1" outlineLevel="1" x14ac:dyDescent="0.25">
      <c r="A30" s="44"/>
      <c r="B30" s="11" t="str">
        <f>CONCATENATE("          ", "5026", " - ", "PURCHASES @ COST-WRITING INSTR")</f>
        <v xml:space="preserve">          5026 - PURCHASES @ COST-WRITING INSTR</v>
      </c>
      <c r="C30" s="11"/>
      <c r="D30" s="2"/>
      <c r="E30" s="2"/>
      <c r="F30" s="19">
        <f t="shared" si="5"/>
        <v>0</v>
      </c>
      <c r="G30" s="2"/>
      <c r="H30" s="2"/>
      <c r="I30" s="2"/>
      <c r="J30" s="19">
        <f t="shared" si="6"/>
        <v>0</v>
      </c>
      <c r="K30" s="2"/>
      <c r="L30" s="2">
        <f t="shared" si="7"/>
        <v>0</v>
      </c>
      <c r="M30" s="2"/>
      <c r="N30" s="19">
        <f t="shared" si="8"/>
        <v>0</v>
      </c>
      <c r="O30" s="11"/>
      <c r="P30" s="2">
        <v>0</v>
      </c>
      <c r="Q30" s="2"/>
      <c r="R30" s="19">
        <f t="shared" si="9"/>
        <v>0</v>
      </c>
      <c r="S30" s="2"/>
      <c r="T30" s="2"/>
      <c r="U30" s="2"/>
      <c r="V30" s="19">
        <f t="shared" si="10"/>
        <v>0</v>
      </c>
      <c r="W30" s="2"/>
      <c r="X30" s="2">
        <f t="shared" si="11"/>
        <v>0</v>
      </c>
      <c r="Y30" s="2"/>
      <c r="Z30" s="19">
        <f t="shared" si="12"/>
        <v>0</v>
      </c>
    </row>
    <row r="31" spans="1:26" s="24" customFormat="1" hidden="1" outlineLevel="1" x14ac:dyDescent="0.25">
      <c r="A31" s="44"/>
      <c r="B31" s="11" t="str">
        <f>CONCATENATE("          ", "5027", " - ", "PURCHASES @ COST-SCHOOL SUPPLI")</f>
        <v xml:space="preserve">          5027 - PURCHASES @ COST-SCHOOL SUPPLI</v>
      </c>
      <c r="C31" s="11"/>
      <c r="D31" s="2"/>
      <c r="E31" s="2"/>
      <c r="F31" s="19">
        <f t="shared" si="5"/>
        <v>0</v>
      </c>
      <c r="G31" s="2"/>
      <c r="H31" s="2"/>
      <c r="I31" s="2"/>
      <c r="J31" s="19">
        <f t="shared" si="6"/>
        <v>0</v>
      </c>
      <c r="K31" s="2"/>
      <c r="L31" s="2">
        <f t="shared" si="7"/>
        <v>0</v>
      </c>
      <c r="M31" s="2"/>
      <c r="N31" s="19">
        <f t="shared" si="8"/>
        <v>0</v>
      </c>
      <c r="O31" s="11"/>
      <c r="P31" s="2">
        <v>0</v>
      </c>
      <c r="Q31" s="2"/>
      <c r="R31" s="19">
        <f t="shared" si="9"/>
        <v>0</v>
      </c>
      <c r="S31" s="2"/>
      <c r="T31" s="2"/>
      <c r="U31" s="2"/>
      <c r="V31" s="19">
        <f t="shared" si="10"/>
        <v>0</v>
      </c>
      <c r="W31" s="2"/>
      <c r="X31" s="2">
        <f t="shared" si="11"/>
        <v>0</v>
      </c>
      <c r="Y31" s="2"/>
      <c r="Z31" s="19">
        <f t="shared" si="12"/>
        <v>0</v>
      </c>
    </row>
    <row r="32" spans="1:26" s="24" customFormat="1" hidden="1" outlineLevel="1" x14ac:dyDescent="0.25">
      <c r="A32" s="44"/>
      <c r="B32" s="11" t="str">
        <f>CONCATENATE("          ", "5028", " - ", "PURCHASES @ COST-ART/TECH")</f>
        <v xml:space="preserve">          5028 - PURCHASES @ COST-ART/TECH</v>
      </c>
      <c r="C32" s="11"/>
      <c r="D32" s="2"/>
      <c r="E32" s="2"/>
      <c r="F32" s="19">
        <f t="shared" si="5"/>
        <v>0</v>
      </c>
      <c r="G32" s="2"/>
      <c r="H32" s="2"/>
      <c r="I32" s="2"/>
      <c r="J32" s="19">
        <f t="shared" si="6"/>
        <v>0</v>
      </c>
      <c r="K32" s="2"/>
      <c r="L32" s="2">
        <f t="shared" si="7"/>
        <v>0</v>
      </c>
      <c r="M32" s="2"/>
      <c r="N32" s="19">
        <f t="shared" si="8"/>
        <v>0</v>
      </c>
      <c r="O32" s="11"/>
      <c r="P32" s="2">
        <v>0</v>
      </c>
      <c r="Q32" s="2"/>
      <c r="R32" s="19">
        <f t="shared" si="9"/>
        <v>0</v>
      </c>
      <c r="S32" s="2"/>
      <c r="T32" s="2"/>
      <c r="U32" s="2"/>
      <c r="V32" s="19">
        <f t="shared" si="10"/>
        <v>0</v>
      </c>
      <c r="W32" s="2"/>
      <c r="X32" s="2">
        <f t="shared" si="11"/>
        <v>0</v>
      </c>
      <c r="Y32" s="2"/>
      <c r="Z32" s="19">
        <f t="shared" si="12"/>
        <v>0</v>
      </c>
    </row>
    <row r="33" spans="1:26" s="24" customFormat="1" hidden="1" outlineLevel="1" x14ac:dyDescent="0.25">
      <c r="A33" s="44"/>
      <c r="B33" s="11" t="str">
        <f>CONCATENATE("          ", "5031", " - ", "PURCHASES @ COST-FOOD")</f>
        <v xml:space="preserve">          5031 - PURCHASES @ COST-FOOD</v>
      </c>
      <c r="C33" s="11"/>
      <c r="D33" s="2"/>
      <c r="E33" s="2"/>
      <c r="F33" s="19">
        <f t="shared" si="5"/>
        <v>0</v>
      </c>
      <c r="G33" s="2"/>
      <c r="H33" s="2"/>
      <c r="I33" s="2"/>
      <c r="J33" s="19">
        <f t="shared" si="6"/>
        <v>0</v>
      </c>
      <c r="K33" s="2"/>
      <c r="L33" s="2">
        <f t="shared" si="7"/>
        <v>0</v>
      </c>
      <c r="M33" s="2"/>
      <c r="N33" s="19">
        <f t="shared" si="8"/>
        <v>0</v>
      </c>
      <c r="O33" s="11"/>
      <c r="P33" s="2">
        <v>0</v>
      </c>
      <c r="Q33" s="2"/>
      <c r="R33" s="19">
        <f t="shared" si="9"/>
        <v>0</v>
      </c>
      <c r="S33" s="2"/>
      <c r="T33" s="2"/>
      <c r="U33" s="2"/>
      <c r="V33" s="19">
        <f t="shared" si="10"/>
        <v>0</v>
      </c>
      <c r="W33" s="2"/>
      <c r="X33" s="2">
        <f t="shared" si="11"/>
        <v>0</v>
      </c>
      <c r="Y33" s="2"/>
      <c r="Z33" s="19">
        <f t="shared" si="12"/>
        <v>0</v>
      </c>
    </row>
    <row r="34" spans="1:26" s="24" customFormat="1" hidden="1" outlineLevel="1" x14ac:dyDescent="0.25">
      <c r="A34" s="44"/>
      <c r="B34" s="11" t="str">
        <f>CONCATENATE("          ", "5040", " - ", "PURCHASES @ COST-LOGO CLOTHING")</f>
        <v xml:space="preserve">          5040 - PURCHASES @ COST-LOGO CLOTHING</v>
      </c>
      <c r="C34" s="11"/>
      <c r="D34" s="2"/>
      <c r="E34" s="2"/>
      <c r="F34" s="19">
        <f t="shared" si="5"/>
        <v>0</v>
      </c>
      <c r="G34" s="2"/>
      <c r="H34" s="2"/>
      <c r="I34" s="2"/>
      <c r="J34" s="19">
        <f t="shared" si="6"/>
        <v>0</v>
      </c>
      <c r="K34" s="2"/>
      <c r="L34" s="2">
        <f t="shared" si="7"/>
        <v>0</v>
      </c>
      <c r="M34" s="2"/>
      <c r="N34" s="19">
        <f t="shared" si="8"/>
        <v>0</v>
      </c>
      <c r="O34" s="11"/>
      <c r="P34" s="2">
        <v>0</v>
      </c>
      <c r="Q34" s="2"/>
      <c r="R34" s="19">
        <f t="shared" si="9"/>
        <v>0</v>
      </c>
      <c r="S34" s="2"/>
      <c r="T34" s="2"/>
      <c r="U34" s="2"/>
      <c r="V34" s="19">
        <f t="shared" si="10"/>
        <v>0</v>
      </c>
      <c r="W34" s="2"/>
      <c r="X34" s="2">
        <f t="shared" si="11"/>
        <v>0</v>
      </c>
      <c r="Y34" s="2"/>
      <c r="Z34" s="19">
        <f t="shared" si="12"/>
        <v>0</v>
      </c>
    </row>
    <row r="35" spans="1:26" s="24" customFormat="1" hidden="1" outlineLevel="1" x14ac:dyDescent="0.25">
      <c r="A35" s="44"/>
      <c r="B35" s="11" t="str">
        <f>CONCATENATE("          ", "5041", " - ", "PURCHASES @ COST-LOGO GIFTS")</f>
        <v xml:space="preserve">          5041 - PURCHASES @ COST-LOGO GIFTS</v>
      </c>
      <c r="C35" s="11"/>
      <c r="D35" s="2"/>
      <c r="E35" s="2"/>
      <c r="F35" s="19">
        <f t="shared" si="5"/>
        <v>0</v>
      </c>
      <c r="G35" s="2"/>
      <c r="H35" s="2"/>
      <c r="I35" s="2"/>
      <c r="J35" s="19">
        <f t="shared" si="6"/>
        <v>0</v>
      </c>
      <c r="K35" s="2"/>
      <c r="L35" s="2">
        <f t="shared" si="7"/>
        <v>0</v>
      </c>
      <c r="M35" s="2"/>
      <c r="N35" s="19">
        <f t="shared" si="8"/>
        <v>0</v>
      </c>
      <c r="O35" s="11"/>
      <c r="P35" s="2">
        <v>0</v>
      </c>
      <c r="Q35" s="2"/>
      <c r="R35" s="19">
        <f t="shared" si="9"/>
        <v>0</v>
      </c>
      <c r="S35" s="2"/>
      <c r="T35" s="2"/>
      <c r="U35" s="2"/>
      <c r="V35" s="19">
        <f t="shared" si="10"/>
        <v>0</v>
      </c>
      <c r="W35" s="2"/>
      <c r="X35" s="2">
        <f t="shared" si="11"/>
        <v>0</v>
      </c>
      <c r="Y35" s="2"/>
      <c r="Z35" s="19">
        <f t="shared" si="12"/>
        <v>0</v>
      </c>
    </row>
    <row r="36" spans="1:26" s="24" customFormat="1" hidden="1" outlineLevel="1" x14ac:dyDescent="0.25">
      <c r="A36" s="44"/>
      <c r="B36" s="11" t="str">
        <f>CONCATENATE("          ", "5042", " - ", "PURCHASES @ COST-EVERYDAY GIFT")</f>
        <v xml:space="preserve">          5042 - PURCHASES @ COST-EVERYDAY GIFT</v>
      </c>
      <c r="C36" s="11"/>
      <c r="D36" s="2"/>
      <c r="E36" s="2"/>
      <c r="F36" s="19">
        <f t="shared" si="5"/>
        <v>0</v>
      </c>
      <c r="G36" s="2"/>
      <c r="H36" s="2"/>
      <c r="I36" s="2"/>
      <c r="J36" s="19">
        <f t="shared" si="6"/>
        <v>0</v>
      </c>
      <c r="K36" s="2"/>
      <c r="L36" s="2">
        <f t="shared" si="7"/>
        <v>0</v>
      </c>
      <c r="M36" s="2"/>
      <c r="N36" s="19">
        <f t="shared" si="8"/>
        <v>0</v>
      </c>
      <c r="O36" s="11"/>
      <c r="P36" s="2">
        <v>0</v>
      </c>
      <c r="Q36" s="2"/>
      <c r="R36" s="19">
        <f t="shared" si="9"/>
        <v>0</v>
      </c>
      <c r="S36" s="2"/>
      <c r="T36" s="2"/>
      <c r="U36" s="2"/>
      <c r="V36" s="19">
        <f t="shared" si="10"/>
        <v>0</v>
      </c>
      <c r="W36" s="2"/>
      <c r="X36" s="2">
        <f t="shared" si="11"/>
        <v>0</v>
      </c>
      <c r="Y36" s="2"/>
      <c r="Z36" s="19">
        <f t="shared" si="12"/>
        <v>0</v>
      </c>
    </row>
    <row r="37" spans="1:26" s="24" customFormat="1" hidden="1" outlineLevel="1" x14ac:dyDescent="0.25">
      <c r="A37" s="44"/>
      <c r="B37" s="11" t="str">
        <f>CONCATENATE("          ", "5043", " - ", "PURCHASES @ COST-CARDS")</f>
        <v xml:space="preserve">          5043 - PURCHASES @ COST-CARDS</v>
      </c>
      <c r="C37" s="11"/>
      <c r="D37" s="2"/>
      <c r="E37" s="2"/>
      <c r="F37" s="19">
        <f t="shared" si="5"/>
        <v>0</v>
      </c>
      <c r="G37" s="2"/>
      <c r="H37" s="2"/>
      <c r="I37" s="2"/>
      <c r="J37" s="19">
        <f t="shared" si="6"/>
        <v>0</v>
      </c>
      <c r="K37" s="2"/>
      <c r="L37" s="2">
        <f t="shared" si="7"/>
        <v>0</v>
      </c>
      <c r="M37" s="2"/>
      <c r="N37" s="19">
        <f t="shared" si="8"/>
        <v>0</v>
      </c>
      <c r="O37" s="11"/>
      <c r="P37" s="2">
        <v>0</v>
      </c>
      <c r="Q37" s="2"/>
      <c r="R37" s="19">
        <f t="shared" si="9"/>
        <v>0</v>
      </c>
      <c r="S37" s="2"/>
      <c r="T37" s="2"/>
      <c r="U37" s="2"/>
      <c r="V37" s="19">
        <f t="shared" si="10"/>
        <v>0</v>
      </c>
      <c r="W37" s="2"/>
      <c r="X37" s="2">
        <f t="shared" si="11"/>
        <v>0</v>
      </c>
      <c r="Y37" s="2"/>
      <c r="Z37" s="19">
        <f t="shared" si="12"/>
        <v>0</v>
      </c>
    </row>
    <row r="38" spans="1:26" s="24" customFormat="1" hidden="1" outlineLevel="1" x14ac:dyDescent="0.25">
      <c r="A38" s="44"/>
      <c r="B38" s="11" t="str">
        <f>CONCATENATE("          ", "5044", " - ", "PURCHASES @ COST-ACCESSORIES")</f>
        <v xml:space="preserve">          5044 - PURCHASES @ COST-ACCESSORIES</v>
      </c>
      <c r="C38" s="11"/>
      <c r="D38" s="2"/>
      <c r="E38" s="2"/>
      <c r="F38" s="19">
        <f t="shared" si="5"/>
        <v>0</v>
      </c>
      <c r="G38" s="2"/>
      <c r="H38" s="2"/>
      <c r="I38" s="2"/>
      <c r="J38" s="19">
        <f t="shared" si="6"/>
        <v>0</v>
      </c>
      <c r="K38" s="2"/>
      <c r="L38" s="2">
        <f t="shared" si="7"/>
        <v>0</v>
      </c>
      <c r="M38" s="2"/>
      <c r="N38" s="19">
        <f t="shared" si="8"/>
        <v>0</v>
      </c>
      <c r="O38" s="11"/>
      <c r="P38" s="2">
        <v>0</v>
      </c>
      <c r="Q38" s="2"/>
      <c r="R38" s="19">
        <f t="shared" si="9"/>
        <v>0</v>
      </c>
      <c r="S38" s="2"/>
      <c r="T38" s="2"/>
      <c r="U38" s="2"/>
      <c r="V38" s="19">
        <f t="shared" si="10"/>
        <v>0</v>
      </c>
      <c r="W38" s="2"/>
      <c r="X38" s="2">
        <f t="shared" si="11"/>
        <v>0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"5045", " - ", "PURCHASES @ COST-SPECIAL ORDER")</f>
        <v xml:space="preserve">          5045 - PURCHASES @ COST-SPECIAL ORDER</v>
      </c>
      <c r="C39" s="11"/>
      <c r="D39" s="2"/>
      <c r="E39" s="2"/>
      <c r="F39" s="19">
        <f t="shared" si="5"/>
        <v>0</v>
      </c>
      <c r="G39" s="2"/>
      <c r="H39" s="2"/>
      <c r="I39" s="2"/>
      <c r="J39" s="19">
        <f t="shared" si="6"/>
        <v>0</v>
      </c>
      <c r="K39" s="2"/>
      <c r="L39" s="2">
        <f t="shared" si="7"/>
        <v>0</v>
      </c>
      <c r="M39" s="2"/>
      <c r="N39" s="19">
        <f t="shared" si="8"/>
        <v>0</v>
      </c>
      <c r="O39" s="11"/>
      <c r="P39" s="2">
        <v>0</v>
      </c>
      <c r="Q39" s="2"/>
      <c r="R39" s="19">
        <f t="shared" si="9"/>
        <v>0</v>
      </c>
      <c r="S39" s="2"/>
      <c r="T39" s="2"/>
      <c r="U39" s="2"/>
      <c r="V39" s="19">
        <f t="shared" si="10"/>
        <v>0</v>
      </c>
      <c r="W39" s="2"/>
      <c r="X39" s="2">
        <f t="shared" si="11"/>
        <v>0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"5053", " - ", "PURCHASES @ COST-FOOD")</f>
        <v xml:space="preserve">          5053 - PURCHASES @ COST-FOOD</v>
      </c>
      <c r="C40" s="11"/>
      <c r="D40" s="2">
        <v>526909.31999999995</v>
      </c>
      <c r="E40" s="2"/>
      <c r="F40" s="19">
        <f t="shared" si="5"/>
        <v>0.20834614269736709</v>
      </c>
      <c r="G40" s="2"/>
      <c r="H40" s="2"/>
      <c r="I40" s="2"/>
      <c r="J40" s="19">
        <f t="shared" si="6"/>
        <v>0</v>
      </c>
      <c r="K40" s="2"/>
      <c r="L40" s="2">
        <f t="shared" si="7"/>
        <v>526909.31999999995</v>
      </c>
      <c r="M40" s="2"/>
      <c r="N40" s="19">
        <f t="shared" si="8"/>
        <v>0</v>
      </c>
      <c r="O40" s="11"/>
      <c r="P40" s="2">
        <v>1243177.1299999999</v>
      </c>
      <c r="Q40" s="2"/>
      <c r="R40" s="19">
        <f t="shared" si="9"/>
        <v>0.15793807827178086</v>
      </c>
      <c r="S40" s="2"/>
      <c r="T40" s="2"/>
      <c r="U40" s="2"/>
      <c r="V40" s="19">
        <f t="shared" si="10"/>
        <v>0</v>
      </c>
      <c r="W40" s="2"/>
      <c r="X40" s="2">
        <f t="shared" si="11"/>
        <v>1243177.1299999999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"5059", " - ", "PURCHASES @ COST-FOOD")</f>
        <v xml:space="preserve">          5059 - PURCHASES @ COST-FOOD</v>
      </c>
      <c r="C41" s="11"/>
      <c r="D41" s="2">
        <v>9985.92</v>
      </c>
      <c r="E41" s="2"/>
      <c r="F41" s="19">
        <f t="shared" si="5"/>
        <v>3.9485502235650193E-3</v>
      </c>
      <c r="G41" s="2"/>
      <c r="H41" s="2"/>
      <c r="I41" s="2"/>
      <c r="J41" s="19">
        <f t="shared" si="6"/>
        <v>0</v>
      </c>
      <c r="K41" s="2"/>
      <c r="L41" s="2">
        <f t="shared" si="7"/>
        <v>9985.92</v>
      </c>
      <c r="M41" s="2"/>
      <c r="N41" s="19">
        <f t="shared" si="8"/>
        <v>0</v>
      </c>
      <c r="O41" s="11"/>
      <c r="P41" s="2">
        <v>-75481.08</v>
      </c>
      <c r="Q41" s="2"/>
      <c r="R41" s="19">
        <f t="shared" si="9"/>
        <v>-9.5894112217770246E-3</v>
      </c>
      <c r="S41" s="2"/>
      <c r="T41" s="2"/>
      <c r="U41" s="2"/>
      <c r="V41" s="19">
        <f t="shared" si="10"/>
        <v>0</v>
      </c>
      <c r="W41" s="2"/>
      <c r="X41" s="2">
        <f t="shared" si="11"/>
        <v>-75481.08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/>
      <c r="E42" s="2"/>
      <c r="F42" s="19">
        <f t="shared" si="5"/>
        <v>0</v>
      </c>
      <c r="G42" s="2"/>
      <c r="H42" s="2"/>
      <c r="I42" s="2"/>
      <c r="J42" s="19">
        <f t="shared" si="6"/>
        <v>0</v>
      </c>
      <c r="K42" s="2"/>
      <c r="L42" s="2">
        <f t="shared" si="7"/>
        <v>0</v>
      </c>
      <c r="M42" s="2"/>
      <c r="N42" s="19">
        <f t="shared" si="8"/>
        <v>0</v>
      </c>
      <c r="O42" s="11"/>
      <c r="P42" s="2">
        <v>0</v>
      </c>
      <c r="Q42" s="2"/>
      <c r="R42" s="19">
        <f t="shared" si="9"/>
        <v>0</v>
      </c>
      <c r="S42" s="2"/>
      <c r="T42" s="2"/>
      <c r="U42" s="2"/>
      <c r="V42" s="19">
        <f t="shared" si="10"/>
        <v>0</v>
      </c>
      <c r="W42" s="2"/>
      <c r="X42" s="2">
        <f t="shared" si="11"/>
        <v>0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-20540.88</v>
      </c>
      <c r="E43" s="2"/>
      <c r="F43" s="19">
        <f t="shared" si="5"/>
        <v>-8.122105556245417E-3</v>
      </c>
      <c r="G43" s="2"/>
      <c r="H43" s="2"/>
      <c r="I43" s="2"/>
      <c r="J43" s="19">
        <f t="shared" si="6"/>
        <v>0</v>
      </c>
      <c r="K43" s="2"/>
      <c r="L43" s="2">
        <f t="shared" si="7"/>
        <v>-20540.88</v>
      </c>
      <c r="M43" s="2"/>
      <c r="N43" s="19">
        <f t="shared" si="8"/>
        <v>0</v>
      </c>
      <c r="O43" s="11"/>
      <c r="P43" s="2">
        <v>-77324.73</v>
      </c>
      <c r="Q43" s="2"/>
      <c r="R43" s="19">
        <f t="shared" si="9"/>
        <v>-9.8236357188169338E-3</v>
      </c>
      <c r="S43" s="2"/>
      <c r="T43" s="2"/>
      <c r="U43" s="2"/>
      <c r="V43" s="19">
        <f t="shared" si="10"/>
        <v>0</v>
      </c>
      <c r="W43" s="2"/>
      <c r="X43" s="2">
        <f t="shared" si="11"/>
        <v>-77324.73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/>
      <c r="E44" s="2"/>
      <c r="F44" s="19">
        <f t="shared" si="5"/>
        <v>0</v>
      </c>
      <c r="G44" s="2"/>
      <c r="H44" s="2"/>
      <c r="I44" s="2"/>
      <c r="J44" s="19">
        <f t="shared" si="6"/>
        <v>0</v>
      </c>
      <c r="K44" s="2"/>
      <c r="L44" s="2">
        <f t="shared" si="7"/>
        <v>0</v>
      </c>
      <c r="M44" s="2"/>
      <c r="N44" s="19">
        <f t="shared" si="8"/>
        <v>0</v>
      </c>
      <c r="O44" s="11"/>
      <c r="P44" s="2">
        <v>0</v>
      </c>
      <c r="Q44" s="2"/>
      <c r="R44" s="19">
        <f t="shared" si="9"/>
        <v>0</v>
      </c>
      <c r="S44" s="2"/>
      <c r="T44" s="2"/>
      <c r="U44" s="2"/>
      <c r="V44" s="19">
        <f t="shared" si="10"/>
        <v>0</v>
      </c>
      <c r="W44" s="2"/>
      <c r="X44" s="2">
        <f t="shared" si="11"/>
        <v>0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"5085", " - ", "PURCHASES @ COST-SOFTWARE")</f>
        <v xml:space="preserve">          5085 - PURCHASES @ COST-SOFTWARE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0</v>
      </c>
      <c r="Q45" s="2"/>
      <c r="R45" s="19">
        <f t="shared" si="9"/>
        <v>0</v>
      </c>
      <c r="S45" s="2"/>
      <c r="T45" s="2"/>
      <c r="U45" s="2"/>
      <c r="V45" s="19">
        <f t="shared" si="10"/>
        <v>0</v>
      </c>
      <c r="W45" s="2"/>
      <c r="X45" s="2">
        <f t="shared" si="11"/>
        <v>0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"5086", " - ", "PURCHASES @ COST-COMPUTER SUPP")</f>
        <v xml:space="preserve">          5086 - PURCHASES @ COST-COMPUTER SUPP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0</v>
      </c>
      <c r="Q46" s="2"/>
      <c r="R46" s="19">
        <f t="shared" si="9"/>
        <v>0</v>
      </c>
      <c r="S46" s="2"/>
      <c r="T46" s="2"/>
      <c r="U46" s="2"/>
      <c r="V46" s="19">
        <f t="shared" si="10"/>
        <v>0</v>
      </c>
      <c r="W46" s="2"/>
      <c r="X46" s="2">
        <f t="shared" si="11"/>
        <v>0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-899387.86</v>
      </c>
      <c r="E47" s="2"/>
      <c r="F47" s="19">
        <f t="shared" si="5"/>
        <v>-0.35562853854974447</v>
      </c>
      <c r="G47" s="2"/>
      <c r="H47" s="2"/>
      <c r="I47" s="2"/>
      <c r="J47" s="19">
        <f t="shared" si="6"/>
        <v>0</v>
      </c>
      <c r="K47" s="2"/>
      <c r="L47" s="2">
        <f t="shared" si="7"/>
        <v>-899387.86</v>
      </c>
      <c r="M47" s="2"/>
      <c r="N47" s="19">
        <f t="shared" si="8"/>
        <v>0</v>
      </c>
      <c r="O47" s="11"/>
      <c r="P47" s="2">
        <v>-2799251.37</v>
      </c>
      <c r="Q47" s="2"/>
      <c r="R47" s="19">
        <f t="shared" si="9"/>
        <v>-0.35562782753045807</v>
      </c>
      <c r="S47" s="2"/>
      <c r="T47" s="2"/>
      <c r="U47" s="2"/>
      <c r="V47" s="19">
        <f t="shared" si="10"/>
        <v>0</v>
      </c>
      <c r="W47" s="2"/>
      <c r="X47" s="2">
        <f t="shared" si="11"/>
        <v>-2799251.37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457087.53</v>
      </c>
      <c r="E48" s="2"/>
      <c r="F48" s="19">
        <f t="shared" si="5"/>
        <v>0.18073778567926466</v>
      </c>
      <c r="G48" s="2"/>
      <c r="H48" s="2"/>
      <c r="I48" s="2"/>
      <c r="J48" s="19">
        <f t="shared" si="6"/>
        <v>0</v>
      </c>
      <c r="K48" s="2"/>
      <c r="L48" s="2">
        <f t="shared" si="7"/>
        <v>457087.53</v>
      </c>
      <c r="M48" s="2"/>
      <c r="N48" s="19">
        <f t="shared" si="8"/>
        <v>0</v>
      </c>
      <c r="O48" s="11"/>
      <c r="P48" s="2">
        <v>2259391.88</v>
      </c>
      <c r="Q48" s="2"/>
      <c r="R48" s="19">
        <f t="shared" si="9"/>
        <v>0.28704196930494219</v>
      </c>
      <c r="S48" s="2"/>
      <c r="T48" s="2"/>
      <c r="U48" s="2"/>
      <c r="V48" s="19">
        <f t="shared" si="10"/>
        <v>0</v>
      </c>
      <c r="W48" s="2"/>
      <c r="X48" s="2">
        <f t="shared" si="11"/>
        <v>2259391.88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"5500", " - ", "FREIGHT-IN")</f>
        <v xml:space="preserve">          5500 - FREIGHT-IN</v>
      </c>
      <c r="C49" s="11"/>
      <c r="D49" s="2">
        <v>22303.71</v>
      </c>
      <c r="E49" s="2"/>
      <c r="F49" s="19">
        <f t="shared" si="5"/>
        <v>8.8191492728591208E-3</v>
      </c>
      <c r="G49" s="2"/>
      <c r="H49" s="2"/>
      <c r="I49" s="2"/>
      <c r="J49" s="19">
        <f t="shared" si="6"/>
        <v>0</v>
      </c>
      <c r="K49" s="2"/>
      <c r="L49" s="2">
        <f t="shared" si="7"/>
        <v>22303.71</v>
      </c>
      <c r="M49" s="2"/>
      <c r="N49" s="19">
        <f t="shared" si="8"/>
        <v>0</v>
      </c>
      <c r="O49" s="11"/>
      <c r="P49" s="2">
        <v>49680.15</v>
      </c>
      <c r="Q49" s="2"/>
      <c r="R49" s="19">
        <f t="shared" si="9"/>
        <v>6.3115602997408865E-3</v>
      </c>
      <c r="S49" s="2"/>
      <c r="T49" s="2"/>
      <c r="U49" s="2"/>
      <c r="V49" s="19">
        <f t="shared" si="10"/>
        <v>0</v>
      </c>
      <c r="W49" s="2"/>
      <c r="X49" s="2">
        <f t="shared" si="11"/>
        <v>49680.15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"5501", " - ", "FREIGHT-IN-NEW TEXT")</f>
        <v xml:space="preserve">          5501 - FREIGHT-IN-NEW TEXT</v>
      </c>
      <c r="C50" s="11"/>
      <c r="D50" s="2">
        <v>0</v>
      </c>
      <c r="E50" s="2"/>
      <c r="F50" s="19">
        <f t="shared" si="5"/>
        <v>0</v>
      </c>
      <c r="G50" s="2"/>
      <c r="H50" s="2"/>
      <c r="I50" s="2"/>
      <c r="J50" s="19">
        <f t="shared" si="6"/>
        <v>0</v>
      </c>
      <c r="K50" s="2"/>
      <c r="L50" s="2">
        <f t="shared" si="7"/>
        <v>0</v>
      </c>
      <c r="M50" s="2"/>
      <c r="N50" s="19">
        <f t="shared" si="8"/>
        <v>0</v>
      </c>
      <c r="O50" s="11"/>
      <c r="P50" s="2">
        <v>0</v>
      </c>
      <c r="Q50" s="2"/>
      <c r="R50" s="19">
        <f t="shared" si="9"/>
        <v>0</v>
      </c>
      <c r="S50" s="2"/>
      <c r="T50" s="2"/>
      <c r="U50" s="2"/>
      <c r="V50" s="19">
        <f t="shared" si="10"/>
        <v>0</v>
      </c>
      <c r="W50" s="2"/>
      <c r="X50" s="2">
        <f t="shared" si="11"/>
        <v>0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"5502", " - ", "FREIGHT-IN-USED TEXT")</f>
        <v xml:space="preserve">          5502 - FREIGHT-IN-USED TEXT</v>
      </c>
      <c r="C51" s="11"/>
      <c r="D51" s="2"/>
      <c r="E51" s="2"/>
      <c r="F51" s="19">
        <f t="shared" si="5"/>
        <v>0</v>
      </c>
      <c r="G51" s="2"/>
      <c r="H51" s="2"/>
      <c r="I51" s="2"/>
      <c r="J51" s="19">
        <f t="shared" si="6"/>
        <v>0</v>
      </c>
      <c r="K51" s="2"/>
      <c r="L51" s="2">
        <f t="shared" si="7"/>
        <v>0</v>
      </c>
      <c r="M51" s="2"/>
      <c r="N51" s="19">
        <f t="shared" si="8"/>
        <v>0</v>
      </c>
      <c r="O51" s="11"/>
      <c r="P51" s="2">
        <v>0</v>
      </c>
      <c r="Q51" s="2"/>
      <c r="R51" s="19">
        <f t="shared" si="9"/>
        <v>0</v>
      </c>
      <c r="S51" s="2"/>
      <c r="T51" s="2"/>
      <c r="U51" s="2"/>
      <c r="V51" s="19">
        <f t="shared" si="10"/>
        <v>0</v>
      </c>
      <c r="W51" s="2"/>
      <c r="X51" s="2">
        <f t="shared" si="11"/>
        <v>0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"5518", " - ", "FREIGHT-IN-STUDY GUIDES")</f>
        <v xml:space="preserve">          5518 - FREIGHT-IN-STUDY GUIDES</v>
      </c>
      <c r="C52" s="11"/>
      <c r="D52" s="2"/>
      <c r="E52" s="2"/>
      <c r="F52" s="19">
        <f t="shared" si="5"/>
        <v>0</v>
      </c>
      <c r="G52" s="2"/>
      <c r="H52" s="2"/>
      <c r="I52" s="2"/>
      <c r="J52" s="19">
        <f t="shared" si="6"/>
        <v>0</v>
      </c>
      <c r="K52" s="2"/>
      <c r="L52" s="2">
        <f t="shared" si="7"/>
        <v>0</v>
      </c>
      <c r="M52" s="2"/>
      <c r="N52" s="19">
        <f t="shared" si="8"/>
        <v>0</v>
      </c>
      <c r="O52" s="11"/>
      <c r="P52" s="2">
        <v>0</v>
      </c>
      <c r="Q52" s="2"/>
      <c r="R52" s="19">
        <f t="shared" si="9"/>
        <v>0</v>
      </c>
      <c r="S52" s="2"/>
      <c r="T52" s="2"/>
      <c r="U52" s="2"/>
      <c r="V52" s="19">
        <f t="shared" si="10"/>
        <v>0</v>
      </c>
      <c r="W52" s="2"/>
      <c r="X52" s="2">
        <f t="shared" si="11"/>
        <v>0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"5527", " - ", "FREIGHT-IN-SCHOOL SUPPLIES")</f>
        <v xml:space="preserve">          5527 - FREIGHT-IN-SCHOOL SUPPLIES</v>
      </c>
      <c r="C53" s="11"/>
      <c r="D53" s="2"/>
      <c r="E53" s="2"/>
      <c r="F53" s="19">
        <f t="shared" si="5"/>
        <v>0</v>
      </c>
      <c r="G53" s="2"/>
      <c r="H53" s="2"/>
      <c r="I53" s="2"/>
      <c r="J53" s="19">
        <f t="shared" si="6"/>
        <v>0</v>
      </c>
      <c r="K53" s="2"/>
      <c r="L53" s="2">
        <f t="shared" si="7"/>
        <v>0</v>
      </c>
      <c r="M53" s="2"/>
      <c r="N53" s="19">
        <f t="shared" si="8"/>
        <v>0</v>
      </c>
      <c r="O53" s="11"/>
      <c r="P53" s="2">
        <v>0</v>
      </c>
      <c r="Q53" s="2"/>
      <c r="R53" s="19">
        <f t="shared" si="9"/>
        <v>0</v>
      </c>
      <c r="S53" s="2"/>
      <c r="T53" s="2"/>
      <c r="U53" s="2"/>
      <c r="V53" s="19">
        <f t="shared" si="10"/>
        <v>0</v>
      </c>
      <c r="W53" s="2"/>
      <c r="X53" s="2">
        <f t="shared" si="11"/>
        <v>0</v>
      </c>
      <c r="Y53" s="2"/>
      <c r="Z53" s="19">
        <f t="shared" si="12"/>
        <v>0</v>
      </c>
    </row>
    <row r="54" spans="1:26" s="24" customFormat="1" hidden="1" outlineLevel="1" x14ac:dyDescent="0.25">
      <c r="A54" s="44"/>
      <c r="B54" s="11" t="str">
        <f>CONCATENATE("          ", "5528", " - ", "FREIGHT-IN-ART/TECH")</f>
        <v xml:space="preserve">          5528 - FREIGHT-IN-ART/TECH</v>
      </c>
      <c r="C54" s="11"/>
      <c r="D54" s="2"/>
      <c r="E54" s="2"/>
      <c r="F54" s="19">
        <f t="shared" si="5"/>
        <v>0</v>
      </c>
      <c r="G54" s="2"/>
      <c r="H54" s="2"/>
      <c r="I54" s="2"/>
      <c r="J54" s="19">
        <f t="shared" si="6"/>
        <v>0</v>
      </c>
      <c r="K54" s="2"/>
      <c r="L54" s="2">
        <f t="shared" si="7"/>
        <v>0</v>
      </c>
      <c r="M54" s="2"/>
      <c r="N54" s="19">
        <f t="shared" si="8"/>
        <v>0</v>
      </c>
      <c r="O54" s="11"/>
      <c r="P54" s="2">
        <v>0</v>
      </c>
      <c r="Q54" s="2"/>
      <c r="R54" s="19">
        <f t="shared" si="9"/>
        <v>0</v>
      </c>
      <c r="S54" s="2"/>
      <c r="T54" s="2"/>
      <c r="U54" s="2"/>
      <c r="V54" s="19">
        <f t="shared" si="10"/>
        <v>0</v>
      </c>
      <c r="W54" s="2"/>
      <c r="X54" s="2">
        <f t="shared" si="11"/>
        <v>0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"5540", " - ", "FREIGHT-IN-LOGO CLOTHING")</f>
        <v xml:space="preserve">          5540 - FREIGHT-IN-LOGO CLOTHING</v>
      </c>
      <c r="C55" s="11"/>
      <c r="D55" s="2"/>
      <c r="E55" s="2"/>
      <c r="F55" s="19">
        <f t="shared" si="5"/>
        <v>0</v>
      </c>
      <c r="G55" s="2"/>
      <c r="H55" s="2"/>
      <c r="I55" s="2"/>
      <c r="J55" s="19">
        <f t="shared" si="6"/>
        <v>0</v>
      </c>
      <c r="K55" s="2"/>
      <c r="L55" s="2">
        <f t="shared" si="7"/>
        <v>0</v>
      </c>
      <c r="M55" s="2"/>
      <c r="N55" s="19">
        <f t="shared" si="8"/>
        <v>0</v>
      </c>
      <c r="O55" s="11"/>
      <c r="P55" s="2">
        <v>0</v>
      </c>
      <c r="Q55" s="2"/>
      <c r="R55" s="19">
        <f t="shared" si="9"/>
        <v>0</v>
      </c>
      <c r="S55" s="2"/>
      <c r="T55" s="2"/>
      <c r="U55" s="2"/>
      <c r="V55" s="19">
        <f t="shared" si="10"/>
        <v>0</v>
      </c>
      <c r="W55" s="2"/>
      <c r="X55" s="2">
        <f t="shared" si="11"/>
        <v>0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"5541", " - ", "FREIGHT-IN-LOGO GIFTS")</f>
        <v xml:space="preserve">          5541 - FREIGHT-IN-LOGO GIFTS</v>
      </c>
      <c r="C56" s="11"/>
      <c r="D56" s="2"/>
      <c r="E56" s="2"/>
      <c r="F56" s="19">
        <f t="shared" si="5"/>
        <v>0</v>
      </c>
      <c r="G56" s="2"/>
      <c r="H56" s="2"/>
      <c r="I56" s="2"/>
      <c r="J56" s="19">
        <f t="shared" si="6"/>
        <v>0</v>
      </c>
      <c r="K56" s="2"/>
      <c r="L56" s="2">
        <f t="shared" si="7"/>
        <v>0</v>
      </c>
      <c r="M56" s="2"/>
      <c r="N56" s="19">
        <f t="shared" si="8"/>
        <v>0</v>
      </c>
      <c r="O56" s="11"/>
      <c r="P56" s="2">
        <v>0</v>
      </c>
      <c r="Q56" s="2"/>
      <c r="R56" s="19">
        <f t="shared" si="9"/>
        <v>0</v>
      </c>
      <c r="S56" s="2"/>
      <c r="T56" s="2"/>
      <c r="U56" s="2"/>
      <c r="V56" s="19">
        <f t="shared" si="10"/>
        <v>0</v>
      </c>
      <c r="W56" s="2"/>
      <c r="X56" s="2">
        <f t="shared" si="11"/>
        <v>0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"5542", " - ", "FREIGHT-IN-EVERYDAY GIFTS")</f>
        <v xml:space="preserve">          5542 - FREIGHT-IN-EVERYDAY GIFTS</v>
      </c>
      <c r="C57" s="11"/>
      <c r="D57" s="2"/>
      <c r="E57" s="2"/>
      <c r="F57" s="19">
        <f t="shared" si="5"/>
        <v>0</v>
      </c>
      <c r="G57" s="2"/>
      <c r="H57" s="2"/>
      <c r="I57" s="2"/>
      <c r="J57" s="19">
        <f t="shared" si="6"/>
        <v>0</v>
      </c>
      <c r="K57" s="2"/>
      <c r="L57" s="2">
        <f t="shared" si="7"/>
        <v>0</v>
      </c>
      <c r="M57" s="2"/>
      <c r="N57" s="19">
        <f t="shared" si="8"/>
        <v>0</v>
      </c>
      <c r="O57" s="11"/>
      <c r="P57" s="2">
        <v>0</v>
      </c>
      <c r="Q57" s="2"/>
      <c r="R57" s="19">
        <f t="shared" si="9"/>
        <v>0</v>
      </c>
      <c r="S57" s="2"/>
      <c r="T57" s="2"/>
      <c r="U57" s="2"/>
      <c r="V57" s="19">
        <f t="shared" si="10"/>
        <v>0</v>
      </c>
      <c r="W57" s="2"/>
      <c r="X57" s="2">
        <f t="shared" si="11"/>
        <v>0</v>
      </c>
      <c r="Y57" s="2"/>
      <c r="Z57" s="19">
        <f t="shared" si="12"/>
        <v>0</v>
      </c>
    </row>
    <row r="58" spans="1:26" s="24" customFormat="1" hidden="1" outlineLevel="1" x14ac:dyDescent="0.25">
      <c r="A58" s="44"/>
      <c r="B58" s="11" t="str">
        <f>CONCATENATE("          ", "5544", " - ", "FREIGHT-IN-ACCESSORIES")</f>
        <v xml:space="preserve">          5544 - FREIGHT-IN-ACCESSORIES</v>
      </c>
      <c r="C58" s="11"/>
      <c r="D58" s="2"/>
      <c r="E58" s="2"/>
      <c r="F58" s="19">
        <f t="shared" si="5"/>
        <v>0</v>
      </c>
      <c r="G58" s="2"/>
      <c r="H58" s="2"/>
      <c r="I58" s="2"/>
      <c r="J58" s="19">
        <f t="shared" si="6"/>
        <v>0</v>
      </c>
      <c r="K58" s="2"/>
      <c r="L58" s="2">
        <f t="shared" si="7"/>
        <v>0</v>
      </c>
      <c r="M58" s="2"/>
      <c r="N58" s="19">
        <f t="shared" si="8"/>
        <v>0</v>
      </c>
      <c r="O58" s="11"/>
      <c r="P58" s="2">
        <v>0</v>
      </c>
      <c r="Q58" s="2"/>
      <c r="R58" s="19">
        <f t="shared" si="9"/>
        <v>0</v>
      </c>
      <c r="S58" s="2"/>
      <c r="T58" s="2"/>
      <c r="U58" s="2"/>
      <c r="V58" s="19">
        <f t="shared" si="10"/>
        <v>0</v>
      </c>
      <c r="W58" s="2"/>
      <c r="X58" s="2">
        <f t="shared" si="11"/>
        <v>0</v>
      </c>
      <c r="Y58" s="2"/>
      <c r="Z58" s="19">
        <f t="shared" si="12"/>
        <v>0</v>
      </c>
    </row>
    <row r="59" spans="1:26" s="24" customFormat="1" hidden="1" outlineLevel="1" x14ac:dyDescent="0.25">
      <c r="A59" s="44"/>
      <c r="B59" s="11" t="str">
        <f>CONCATENATE("          ", "5545", " - ", "FREIGHT-IN-SPECIAL ORDERS")</f>
        <v xml:space="preserve">          5545 - FREIGHT-IN-SPECIAL ORDERS</v>
      </c>
      <c r="C59" s="11"/>
      <c r="D59" s="2"/>
      <c r="E59" s="2"/>
      <c r="F59" s="19">
        <f t="shared" si="5"/>
        <v>0</v>
      </c>
      <c r="G59" s="2"/>
      <c r="H59" s="2"/>
      <c r="I59" s="2"/>
      <c r="J59" s="19">
        <f t="shared" si="6"/>
        <v>0</v>
      </c>
      <c r="K59" s="2"/>
      <c r="L59" s="2">
        <f t="shared" si="7"/>
        <v>0</v>
      </c>
      <c r="M59" s="2"/>
      <c r="N59" s="19">
        <f t="shared" si="8"/>
        <v>0</v>
      </c>
      <c r="O59" s="11"/>
      <c r="P59" s="2">
        <v>0</v>
      </c>
      <c r="Q59" s="2"/>
      <c r="R59" s="19">
        <f t="shared" si="9"/>
        <v>0</v>
      </c>
      <c r="S59" s="2"/>
      <c r="T59" s="2"/>
      <c r="U59" s="2"/>
      <c r="V59" s="19">
        <f t="shared" si="10"/>
        <v>0</v>
      </c>
      <c r="W59" s="2"/>
      <c r="X59" s="2">
        <f t="shared" si="11"/>
        <v>0</v>
      </c>
      <c r="Y59" s="2"/>
      <c r="Z59" s="19">
        <f t="shared" si="12"/>
        <v>0</v>
      </c>
    </row>
    <row r="60" spans="1:26" s="24" customFormat="1" hidden="1" outlineLevel="1" x14ac:dyDescent="0.25">
      <c r="A60" s="44"/>
      <c r="B60" s="11" t="str">
        <f>CONCATENATE("          ", "5583", " - ", "FREIGHT-IN-COMPUTER EQUIPMENT")</f>
        <v xml:space="preserve">          5583 - FREIGHT-IN-COMPUTER EQUIPMENT</v>
      </c>
      <c r="C60" s="11"/>
      <c r="D60" s="2"/>
      <c r="E60" s="2"/>
      <c r="F60" s="19">
        <f t="shared" si="5"/>
        <v>0</v>
      </c>
      <c r="G60" s="2"/>
      <c r="H60" s="2"/>
      <c r="I60" s="2"/>
      <c r="J60" s="19">
        <f t="shared" si="6"/>
        <v>0</v>
      </c>
      <c r="K60" s="2"/>
      <c r="L60" s="2">
        <f t="shared" si="7"/>
        <v>0</v>
      </c>
      <c r="M60" s="2"/>
      <c r="N60" s="19">
        <f t="shared" si="8"/>
        <v>0</v>
      </c>
      <c r="O60" s="11"/>
      <c r="P60" s="2">
        <v>0</v>
      </c>
      <c r="Q60" s="2"/>
      <c r="R60" s="19">
        <f t="shared" si="9"/>
        <v>0</v>
      </c>
      <c r="S60" s="2"/>
      <c r="T60" s="2"/>
      <c r="U60" s="2"/>
      <c r="V60" s="19">
        <f t="shared" si="10"/>
        <v>0</v>
      </c>
      <c r="W60" s="2"/>
      <c r="X60" s="2">
        <f t="shared" si="11"/>
        <v>0</v>
      </c>
      <c r="Y60" s="2"/>
      <c r="Z60" s="19">
        <f t="shared" si="12"/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6" t="s">
        <v>108</v>
      </c>
      <c r="C62" s="26"/>
      <c r="D62" s="21">
        <f>D12-D25</f>
        <v>1553123.0100000002</v>
      </c>
      <c r="E62" s="13"/>
      <c r="F62" s="20">
        <f>IF(D$12=0,0,D62/D$12)</f>
        <v>0.61412310616943422</v>
      </c>
      <c r="G62" s="13"/>
      <c r="H62" s="21">
        <f>H12-H25</f>
        <v>1420832</v>
      </c>
      <c r="I62" s="13"/>
      <c r="J62" s="20">
        <f>IF(H$12=0,0,H62/H$12)</f>
        <v>0.65940630635898778</v>
      </c>
      <c r="K62" s="15"/>
      <c r="L62" s="21">
        <f>+D62-H62</f>
        <v>132291.01000000024</v>
      </c>
      <c r="M62" s="15"/>
      <c r="N62" s="20">
        <f>IF(H62=0,0,L62/H62)</f>
        <v>9.3108129602937045E-2</v>
      </c>
      <c r="O62" s="25"/>
      <c r="P62" s="21">
        <f>P12-P25</f>
        <v>4268113.2300000014</v>
      </c>
      <c r="Q62" s="13"/>
      <c r="R62" s="20">
        <f>IF(P$12=0,0,P62/P$12)</f>
        <v>0.54223777539453588</v>
      </c>
      <c r="S62" s="13"/>
      <c r="T62" s="21">
        <f>T12-T25</f>
        <v>4200075</v>
      </c>
      <c r="U62" s="13"/>
      <c r="V62" s="20">
        <f>IF(T$12=0,0,T62/T$12)</f>
        <v>0.47543025953161222</v>
      </c>
      <c r="W62" s="15"/>
      <c r="X62" s="21">
        <f>+P62-T62</f>
        <v>68038.230000001378</v>
      </c>
      <c r="Y62" s="15"/>
      <c r="Z62" s="20">
        <f>IF(T62=0,0,X62/T62)</f>
        <v>1.6199289298405715E-2</v>
      </c>
    </row>
    <row r="63" spans="1:26" x14ac:dyDescent="0.25">
      <c r="A63" s="9"/>
      <c r="B63" s="10"/>
      <c r="C63" s="9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25">
      <c r="A64" s="10"/>
      <c r="B64" s="25" t="s">
        <v>295</v>
      </c>
      <c r="C64" s="10"/>
      <c r="D64" s="22">
        <f>SUM(OSRRefD22x_0)</f>
        <v>1365689.3300000005</v>
      </c>
      <c r="E64" s="22"/>
      <c r="F64" s="34">
        <f t="shared" ref="F64:F75" si="13">IF(D$12=0,0,D64/D$12)</f>
        <v>0.54000962448045486</v>
      </c>
      <c r="G64" s="22"/>
      <c r="H64" s="22">
        <f>SUM(OSRRefH22x_0)</f>
        <v>1337000.9239134118</v>
      </c>
      <c r="I64" s="22"/>
      <c r="J64" s="34">
        <f t="shared" ref="J64:J75" si="14">IF(H$12=0,0,H64/H$12)</f>
        <v>0.62050041161537528</v>
      </c>
      <c r="K64" s="4"/>
      <c r="L64" s="22">
        <f t="shared" ref="L64:L75" si="15">+D64-H64</f>
        <v>28688.406086588744</v>
      </c>
      <c r="M64" s="4"/>
      <c r="N64" s="34">
        <f t="shared" ref="N64:N75" si="16">IF(H64=0,0,L64/H64)</f>
        <v>2.1457282170469685E-2</v>
      </c>
      <c r="O64" s="10"/>
      <c r="P64" s="22">
        <f>SUM(OSRRefP22x_0)</f>
        <v>4180250.9999999991</v>
      </c>
      <c r="Q64" s="22"/>
      <c r="R64" s="34">
        <f t="shared" ref="R64:R75" si="17">IF(P$12=0,0,P64/P$12)</f>
        <v>0.53107541451771245</v>
      </c>
      <c r="S64" s="22"/>
      <c r="T64" s="22">
        <f>SUM(OSRRefT22x_0)</f>
        <v>4611342.5453460263</v>
      </c>
      <c r="U64" s="22"/>
      <c r="V64" s="34">
        <f t="shared" ref="V64:V75" si="18">IF(T$12=0,0,T64/T$12)</f>
        <v>0.52198396055380591</v>
      </c>
      <c r="W64" s="4"/>
      <c r="X64" s="22">
        <f t="shared" ref="X64:X75" si="19">+P64-T64</f>
        <v>-431091.54534602724</v>
      </c>
      <c r="Y64" s="4"/>
      <c r="Z64" s="34">
        <f t="shared" ref="Z64:Z75" si="20">IF(T64=0,0,X64/T64)</f>
        <v>-9.348504065938544E-2</v>
      </c>
    </row>
    <row r="65" spans="1:26" s="28" customFormat="1" outlineLevel="1" collapsed="1" x14ac:dyDescent="0.25">
      <c r="A65" s="29"/>
      <c r="B65" s="14" t="str">
        <f>CONCATENATE("     ","*Benefits                                         ")</f>
        <v xml:space="preserve">     *Benefits                                         </v>
      </c>
      <c r="C65" s="14"/>
      <c r="D65" s="1">
        <f>SUM(OSRRefD22_0x_0)</f>
        <v>210175.09000000003</v>
      </c>
      <c r="E65" s="1"/>
      <c r="F65" s="5">
        <f t="shared" si="13"/>
        <v>8.3105702690117494E-2</v>
      </c>
      <c r="G65" s="1"/>
      <c r="H65" s="1">
        <f>SUM(OSRRefH22_0x_0)</f>
        <v>225310.04921261402</v>
      </c>
      <c r="I65" s="1"/>
      <c r="J65" s="5">
        <f t="shared" si="14"/>
        <v>0.10456610446333667</v>
      </c>
      <c r="K65" s="1"/>
      <c r="L65" s="1">
        <f t="shared" si="15"/>
        <v>-15134.959212613991</v>
      </c>
      <c r="M65" s="1"/>
      <c r="N65" s="5">
        <f t="shared" si="16"/>
        <v>-6.7173919962761508E-2</v>
      </c>
      <c r="O65" s="14"/>
      <c r="P65" s="1">
        <f>SUM(OSRRefP22_0x_0)</f>
        <v>684886.59</v>
      </c>
      <c r="Q65" s="1"/>
      <c r="R65" s="5">
        <f t="shared" si="17"/>
        <v>8.7010667465152847E-2</v>
      </c>
      <c r="S65" s="1"/>
      <c r="T65" s="1">
        <f>SUM(OSRRefT22_0x_0)</f>
        <v>826322.05054469279</v>
      </c>
      <c r="U65" s="1"/>
      <c r="V65" s="5">
        <f t="shared" si="18"/>
        <v>9.3536069462368476E-2</v>
      </c>
      <c r="W65" s="1"/>
      <c r="X65" s="1">
        <f t="shared" si="19"/>
        <v>-141435.46054469282</v>
      </c>
      <c r="Y65" s="1"/>
      <c r="Z65" s="5">
        <f t="shared" si="20"/>
        <v>-0.17116263622816524</v>
      </c>
    </row>
    <row r="66" spans="1:26" s="24" customFormat="1" hidden="1" outlineLevel="2" x14ac:dyDescent="0.25">
      <c r="A66" s="27"/>
      <c r="B66" s="11" t="str">
        <f>CONCATENATE("          ", "6111", " - ", "F.I.C.A.")</f>
        <v xml:space="preserve">          6111 - F.I.C.A.</v>
      </c>
      <c r="C66" s="11"/>
      <c r="D66" s="7">
        <v>38709.18</v>
      </c>
      <c r="E66" s="2"/>
      <c r="F66" s="6">
        <f t="shared" si="13"/>
        <v>1.5306065073925944E-2</v>
      </c>
      <c r="G66" s="2"/>
      <c r="H66" s="7">
        <v>31859.772029861299</v>
      </c>
      <c r="I66" s="2"/>
      <c r="J66" s="6">
        <f t="shared" si="14"/>
        <v>1.4786079280062829E-2</v>
      </c>
      <c r="K66" s="2"/>
      <c r="L66" s="7">
        <f t="shared" si="15"/>
        <v>6849.4079701387018</v>
      </c>
      <c r="M66" s="2"/>
      <c r="N66" s="6">
        <f t="shared" si="16"/>
        <v>0.2149860948069226</v>
      </c>
      <c r="O66" s="11"/>
      <c r="P66" s="7">
        <v>115464.69</v>
      </c>
      <c r="Q66" s="2"/>
      <c r="R66" s="6">
        <f t="shared" si="17"/>
        <v>1.4669085206584291E-2</v>
      </c>
      <c r="S66" s="2"/>
      <c r="T66" s="7">
        <v>122161.975686859</v>
      </c>
      <c r="U66" s="2"/>
      <c r="V66" s="6">
        <f t="shared" si="18"/>
        <v>1.3828205402450642E-2</v>
      </c>
      <c r="W66" s="2"/>
      <c r="X66" s="7">
        <f t="shared" si="19"/>
        <v>-6697.2856868590025</v>
      </c>
      <c r="Y66" s="2"/>
      <c r="Z66" s="6">
        <f t="shared" si="20"/>
        <v>-5.4822997493314374E-2</v>
      </c>
    </row>
    <row r="67" spans="1:26" s="24" customFormat="1" hidden="1" outlineLevel="2" x14ac:dyDescent="0.25">
      <c r="A67" s="27"/>
      <c r="B67" s="11" t="str">
        <f>CONCATENATE("          ", "6112", " - ", "COMPENSATION INSURANCE")</f>
        <v xml:space="preserve">          6112 - COMPENSATION INSURANCE</v>
      </c>
      <c r="C67" s="11"/>
      <c r="D67" s="7">
        <v>19703.22</v>
      </c>
      <c r="E67" s="2"/>
      <c r="F67" s="6">
        <f t="shared" si="13"/>
        <v>7.7908849395900192E-3</v>
      </c>
      <c r="G67" s="2"/>
      <c r="H67" s="7">
        <v>21343.386380542299</v>
      </c>
      <c r="I67" s="2"/>
      <c r="J67" s="6">
        <f t="shared" si="14"/>
        <v>9.9054382068999875E-3</v>
      </c>
      <c r="K67" s="2"/>
      <c r="L67" s="7">
        <f t="shared" si="15"/>
        <v>-1640.1663805422977</v>
      </c>
      <c r="M67" s="2"/>
      <c r="N67" s="6">
        <f t="shared" si="16"/>
        <v>-7.6846586164862549E-2</v>
      </c>
      <c r="O67" s="11"/>
      <c r="P67" s="7">
        <v>47864.46</v>
      </c>
      <c r="Q67" s="2"/>
      <c r="R67" s="6">
        <f t="shared" si="17"/>
        <v>6.0808879503088387E-3</v>
      </c>
      <c r="S67" s="2"/>
      <c r="T67" s="7">
        <v>66295.729927332301</v>
      </c>
      <c r="U67" s="2"/>
      <c r="V67" s="6">
        <f t="shared" si="18"/>
        <v>7.5043888704819E-3</v>
      </c>
      <c r="W67" s="2"/>
      <c r="X67" s="7">
        <f t="shared" si="19"/>
        <v>-18431.269927332301</v>
      </c>
      <c r="Y67" s="2"/>
      <c r="Z67" s="6">
        <f t="shared" si="20"/>
        <v>-0.27801594382526718</v>
      </c>
    </row>
    <row r="68" spans="1:26" s="24" customFormat="1" hidden="1" outlineLevel="2" x14ac:dyDescent="0.25">
      <c r="A68" s="27"/>
      <c r="B68" s="11" t="str">
        <f>CONCATENATE("          ", "6113", " - ", "GROUP INSURANCE")</f>
        <v xml:space="preserve">          6113 - GROUP INSURANCE</v>
      </c>
      <c r="C68" s="11"/>
      <c r="D68" s="7">
        <v>75366.91</v>
      </c>
      <c r="E68" s="2"/>
      <c r="F68" s="6">
        <f t="shared" si="13"/>
        <v>2.9800962688455813E-2</v>
      </c>
      <c r="G68" s="2"/>
      <c r="H68" s="7">
        <v>109917.846153846</v>
      </c>
      <c r="I68" s="2"/>
      <c r="J68" s="6">
        <f t="shared" si="14"/>
        <v>5.1012731227367526E-2</v>
      </c>
      <c r="K68" s="2"/>
      <c r="L68" s="7">
        <f t="shared" si="15"/>
        <v>-34550.936153845993</v>
      </c>
      <c r="M68" s="2"/>
      <c r="N68" s="6">
        <f t="shared" si="16"/>
        <v>-0.31433418105270128</v>
      </c>
      <c r="O68" s="11"/>
      <c r="P68" s="7">
        <v>298042.89</v>
      </c>
      <c r="Q68" s="2"/>
      <c r="R68" s="6">
        <f t="shared" si="17"/>
        <v>3.7864532859583556E-2</v>
      </c>
      <c r="S68" s="2"/>
      <c r="T68" s="7">
        <v>413452.930769231</v>
      </c>
      <c r="U68" s="2"/>
      <c r="V68" s="6">
        <f t="shared" si="18"/>
        <v>4.680107716641279E-2</v>
      </c>
      <c r="W68" s="2"/>
      <c r="X68" s="7">
        <f t="shared" si="19"/>
        <v>-115410.04076923098</v>
      </c>
      <c r="Y68" s="2"/>
      <c r="Z68" s="6">
        <f t="shared" si="20"/>
        <v>-0.27913707263970799</v>
      </c>
    </row>
    <row r="69" spans="1:26" s="24" customFormat="1" hidden="1" outlineLevel="2" x14ac:dyDescent="0.25">
      <c r="A69" s="27"/>
      <c r="B69" s="11" t="str">
        <f>CONCATENATE("          ", "6114", " - ", "STATE UNEMPLOYMENT INSURANCE")</f>
        <v xml:space="preserve">          6114 - STATE UNEMPLOYMENT INSURANCE</v>
      </c>
      <c r="C69" s="11"/>
      <c r="D69" s="7">
        <v>1883.57</v>
      </c>
      <c r="E69" s="2"/>
      <c r="F69" s="6">
        <f t="shared" si="13"/>
        <v>7.44785732771779E-4</v>
      </c>
      <c r="G69" s="2"/>
      <c r="H69" s="7">
        <v>1448.3644384125</v>
      </c>
      <c r="I69" s="2"/>
      <c r="J69" s="6">
        <f t="shared" si="14"/>
        <v>6.7218407566503027E-4</v>
      </c>
      <c r="K69" s="2"/>
      <c r="L69" s="7">
        <f t="shared" si="15"/>
        <v>435.20556158749991</v>
      </c>
      <c r="M69" s="2"/>
      <c r="N69" s="6">
        <f t="shared" si="16"/>
        <v>0.30048070088251616</v>
      </c>
      <c r="O69" s="11"/>
      <c r="P69" s="7">
        <v>4883.93</v>
      </c>
      <c r="Q69" s="2"/>
      <c r="R69" s="6">
        <f t="shared" si="17"/>
        <v>6.2047354314979941E-4</v>
      </c>
      <c r="S69" s="2"/>
      <c r="T69" s="7">
        <v>4793.6281800588504</v>
      </c>
      <c r="U69" s="2"/>
      <c r="V69" s="6">
        <f t="shared" si="18"/>
        <v>5.4261790319064045E-4</v>
      </c>
      <c r="W69" s="2"/>
      <c r="X69" s="7">
        <f t="shared" si="19"/>
        <v>90.301819941149915</v>
      </c>
      <c r="Y69" s="2"/>
      <c r="Z69" s="6">
        <f t="shared" si="20"/>
        <v>1.8837885741075835E-2</v>
      </c>
    </row>
    <row r="70" spans="1:26" s="24" customFormat="1" hidden="1" outlineLevel="2" x14ac:dyDescent="0.25">
      <c r="A70" s="27"/>
      <c r="B70" s="11" t="str">
        <f>CONCATENATE("          ", "6115", " - ", "P.E.R.S.")</f>
        <v xml:space="preserve">          6115 - P.E.R.S.</v>
      </c>
      <c r="C70" s="11"/>
      <c r="D70" s="7">
        <v>21103.68</v>
      </c>
      <c r="E70" s="2"/>
      <c r="F70" s="6">
        <f t="shared" si="13"/>
        <v>8.3446432959651817E-3</v>
      </c>
      <c r="G70" s="2"/>
      <c r="H70" s="7">
        <v>14466.76361975</v>
      </c>
      <c r="I70" s="2"/>
      <c r="J70" s="6">
        <f t="shared" si="14"/>
        <v>6.7140064155846203E-3</v>
      </c>
      <c r="K70" s="2"/>
      <c r="L70" s="7">
        <f t="shared" si="15"/>
        <v>6636.9163802500007</v>
      </c>
      <c r="M70" s="2"/>
      <c r="N70" s="6">
        <f t="shared" si="16"/>
        <v>0.45876994707989105</v>
      </c>
      <c r="O70" s="11"/>
      <c r="P70" s="7">
        <v>62782.55</v>
      </c>
      <c r="Q70" s="2"/>
      <c r="R70" s="6">
        <f t="shared" si="17"/>
        <v>7.9761403718889168E-3</v>
      </c>
      <c r="S70" s="2"/>
      <c r="T70" s="7">
        <v>53897.942492638504</v>
      </c>
      <c r="U70" s="2"/>
      <c r="V70" s="6">
        <f t="shared" si="18"/>
        <v>6.101013145597408E-3</v>
      </c>
      <c r="W70" s="2"/>
      <c r="X70" s="7">
        <f t="shared" si="19"/>
        <v>8884.6075073614993</v>
      </c>
      <c r="Y70" s="2"/>
      <c r="Z70" s="6">
        <f t="shared" si="20"/>
        <v>0.16484131112379621</v>
      </c>
    </row>
    <row r="71" spans="1:26" s="24" customFormat="1" hidden="1" outlineLevel="2" x14ac:dyDescent="0.25">
      <c r="A71" s="27"/>
      <c r="B71" s="11" t="str">
        <f>CONCATENATE("          ", "6116", " - ", "EDUCATIONAL BENEFITS")</f>
        <v xml:space="preserve">          6116 - EDUCATIONAL BENEFITS</v>
      </c>
      <c r="C71" s="11"/>
      <c r="D71" s="7"/>
      <c r="E71" s="2"/>
      <c r="F71" s="6">
        <f t="shared" si="13"/>
        <v>0</v>
      </c>
      <c r="G71" s="2"/>
      <c r="H71" s="7">
        <v>0</v>
      </c>
      <c r="I71" s="2"/>
      <c r="J71" s="6">
        <f t="shared" si="14"/>
        <v>0</v>
      </c>
      <c r="K71" s="2"/>
      <c r="L71" s="7">
        <f t="shared" si="15"/>
        <v>0</v>
      </c>
      <c r="M71" s="2"/>
      <c r="N71" s="6">
        <f t="shared" si="16"/>
        <v>0</v>
      </c>
      <c r="O71" s="11"/>
      <c r="P71" s="7"/>
      <c r="Q71" s="2"/>
      <c r="R71" s="6">
        <f t="shared" si="17"/>
        <v>0</v>
      </c>
      <c r="S71" s="2"/>
      <c r="T71" s="7">
        <v>0</v>
      </c>
      <c r="U71" s="2"/>
      <c r="V71" s="6">
        <f t="shared" si="18"/>
        <v>0</v>
      </c>
      <c r="W71" s="2"/>
      <c r="X71" s="7">
        <f t="shared" si="19"/>
        <v>0</v>
      </c>
      <c r="Y71" s="2"/>
      <c r="Z71" s="6">
        <f t="shared" si="20"/>
        <v>0</v>
      </c>
    </row>
    <row r="72" spans="1:26" s="24" customFormat="1" hidden="1" outlineLevel="2" x14ac:dyDescent="0.25">
      <c r="A72" s="27"/>
      <c r="B72" s="11" t="str">
        <f>CONCATENATE("          ", "6117", " - ", "RETIREMENT STAFF HOURLY")</f>
        <v xml:space="preserve">          6117 - RETIREMENT STAFF HOURLY</v>
      </c>
      <c r="C72" s="11"/>
      <c r="D72" s="7">
        <v>1504.14</v>
      </c>
      <c r="E72" s="2"/>
      <c r="F72" s="6">
        <f t="shared" si="13"/>
        <v>5.9475464787151194E-4</v>
      </c>
      <c r="G72" s="2"/>
      <c r="H72" s="7"/>
      <c r="I72" s="2"/>
      <c r="J72" s="6">
        <f t="shared" si="14"/>
        <v>0</v>
      </c>
      <c r="K72" s="2"/>
      <c r="L72" s="7">
        <f t="shared" si="15"/>
        <v>1504.14</v>
      </c>
      <c r="M72" s="2"/>
      <c r="N72" s="6">
        <f t="shared" si="16"/>
        <v>0</v>
      </c>
      <c r="O72" s="11"/>
      <c r="P72" s="7">
        <v>8558.94</v>
      </c>
      <c r="Q72" s="2"/>
      <c r="R72" s="6">
        <f t="shared" si="17"/>
        <v>1.0873611676265925E-3</v>
      </c>
      <c r="S72" s="2"/>
      <c r="T72" s="7"/>
      <c r="U72" s="2"/>
      <c r="V72" s="6">
        <f t="shared" si="18"/>
        <v>0</v>
      </c>
      <c r="W72" s="2"/>
      <c r="X72" s="7">
        <f t="shared" si="19"/>
        <v>8558.94</v>
      </c>
      <c r="Y72" s="2"/>
      <c r="Z72" s="6">
        <f t="shared" si="20"/>
        <v>0</v>
      </c>
    </row>
    <row r="73" spans="1:26" s="24" customFormat="1" hidden="1" outlineLevel="2" x14ac:dyDescent="0.25">
      <c r="A73" s="27"/>
      <c r="B73" s="11" t="str">
        <f>CONCATENATE("          ", "6118", " - ", "VACATION")</f>
        <v xml:space="preserve">          6118 - VACATION</v>
      </c>
      <c r="C73" s="11"/>
      <c r="D73" s="7">
        <v>23268.83</v>
      </c>
      <c r="E73" s="2"/>
      <c r="F73" s="6">
        <f t="shared" si="13"/>
        <v>9.200769072714025E-3</v>
      </c>
      <c r="G73" s="2"/>
      <c r="H73" s="7">
        <v>15465.4703177596</v>
      </c>
      <c r="I73" s="2"/>
      <c r="J73" s="6">
        <f t="shared" si="14"/>
        <v>7.1775049114451385E-3</v>
      </c>
      <c r="K73" s="2"/>
      <c r="L73" s="7">
        <f t="shared" si="15"/>
        <v>7803.3596822404015</v>
      </c>
      <c r="M73" s="2"/>
      <c r="N73" s="6">
        <f t="shared" si="16"/>
        <v>0.50456659396122605</v>
      </c>
      <c r="O73" s="11"/>
      <c r="P73" s="7">
        <v>69192.12</v>
      </c>
      <c r="Q73" s="2"/>
      <c r="R73" s="6">
        <f t="shared" si="17"/>
        <v>8.790437179575894E-3</v>
      </c>
      <c r="S73" s="2"/>
      <c r="T73" s="7">
        <v>57717.755529165399</v>
      </c>
      <c r="U73" s="2"/>
      <c r="V73" s="6">
        <f t="shared" si="18"/>
        <v>6.5333994013947964E-3</v>
      </c>
      <c r="W73" s="2"/>
      <c r="X73" s="7">
        <f t="shared" si="19"/>
        <v>11474.364470834596</v>
      </c>
      <c r="Y73" s="2"/>
      <c r="Z73" s="6">
        <f t="shared" si="20"/>
        <v>0.19880129373770394</v>
      </c>
    </row>
    <row r="74" spans="1:26" s="24" customFormat="1" hidden="1" outlineLevel="2" x14ac:dyDescent="0.25">
      <c r="A74" s="27"/>
      <c r="B74" s="11" t="str">
        <f>CONCATENATE("          ", "6119", " - ", "SICK LEAVE")</f>
        <v xml:space="preserve">          6119 - SICK LEAVE</v>
      </c>
      <c r="C74" s="11"/>
      <c r="D74" s="7">
        <v>16802.82</v>
      </c>
      <c r="E74" s="2"/>
      <c r="F74" s="6">
        <f t="shared" si="13"/>
        <v>6.6440326647442373E-3</v>
      </c>
      <c r="G74" s="2"/>
      <c r="H74" s="7">
        <v>21463.446272442299</v>
      </c>
      <c r="I74" s="2"/>
      <c r="J74" s="6">
        <f t="shared" si="14"/>
        <v>9.961157848532241E-3</v>
      </c>
      <c r="K74" s="2"/>
      <c r="L74" s="7">
        <f t="shared" si="15"/>
        <v>-4660.6262724422995</v>
      </c>
      <c r="M74" s="2"/>
      <c r="N74" s="6">
        <f t="shared" si="16"/>
        <v>-0.21714249488565346</v>
      </c>
      <c r="O74" s="11"/>
      <c r="P74" s="7">
        <v>48873.14</v>
      </c>
      <c r="Q74" s="2"/>
      <c r="R74" s="6">
        <f t="shared" si="17"/>
        <v>6.2090345972723171E-3</v>
      </c>
      <c r="S74" s="2"/>
      <c r="T74" s="7">
        <v>71950.087959407698</v>
      </c>
      <c r="U74" s="2"/>
      <c r="V74" s="6">
        <f t="shared" si="18"/>
        <v>8.1444376569141091E-3</v>
      </c>
      <c r="W74" s="2"/>
      <c r="X74" s="7">
        <f t="shared" si="19"/>
        <v>-23076.947959407698</v>
      </c>
      <c r="Y74" s="2"/>
      <c r="Z74" s="6">
        <f t="shared" si="20"/>
        <v>-0.32073550726480127</v>
      </c>
    </row>
    <row r="75" spans="1:26" s="24" customFormat="1" hidden="1" outlineLevel="2" x14ac:dyDescent="0.25">
      <c r="A75" s="27"/>
      <c r="B75" s="11" t="str">
        <f>CONCATENATE("          ", "6156", " - ", "EMPLOYEE MEALS")</f>
        <v xml:space="preserve">          6156 - EMPLOYEE MEALS</v>
      </c>
      <c r="C75" s="11"/>
      <c r="D75" s="7">
        <v>11832.74</v>
      </c>
      <c r="E75" s="2"/>
      <c r="F75" s="6">
        <f t="shared" si="13"/>
        <v>4.6788045740789779E-3</v>
      </c>
      <c r="G75" s="2"/>
      <c r="H75" s="7">
        <v>9345</v>
      </c>
      <c r="I75" s="2"/>
      <c r="J75" s="6">
        <f t="shared" si="14"/>
        <v>4.3370024977792878E-3</v>
      </c>
      <c r="K75" s="2"/>
      <c r="L75" s="7">
        <f t="shared" si="15"/>
        <v>2487.7399999999998</v>
      </c>
      <c r="M75" s="2"/>
      <c r="N75" s="6">
        <f t="shared" si="16"/>
        <v>0.26621080791867308</v>
      </c>
      <c r="O75" s="11"/>
      <c r="P75" s="7">
        <v>29223.87</v>
      </c>
      <c r="Q75" s="2"/>
      <c r="R75" s="6">
        <f t="shared" si="17"/>
        <v>3.7127145891626473E-3</v>
      </c>
      <c r="S75" s="2"/>
      <c r="T75" s="7">
        <v>36052</v>
      </c>
      <c r="U75" s="2"/>
      <c r="V75" s="6">
        <f t="shared" si="18"/>
        <v>4.0809299159261878E-3</v>
      </c>
      <c r="W75" s="2"/>
      <c r="X75" s="7">
        <f t="shared" si="19"/>
        <v>-6828.130000000001</v>
      </c>
      <c r="Y75" s="2"/>
      <c r="Z75" s="6">
        <f t="shared" si="20"/>
        <v>-0.18939670475979145</v>
      </c>
    </row>
    <row r="76" spans="1:26" s="28" customFormat="1" outlineLevel="1" collapsed="1" x14ac:dyDescent="0.25">
      <c r="A76" s="29"/>
      <c r="B76" s="14" t="str">
        <f>CONCATENATE("     ","*Payroll                                          ")</f>
        <v xml:space="preserve">     *Payroll                                          </v>
      </c>
      <c r="C76" s="14"/>
      <c r="D76" s="1">
        <f>SUM(OSRRefD22_1x_0)</f>
        <v>676360.61</v>
      </c>
      <c r="E76" s="1"/>
      <c r="F76" s="5">
        <f t="shared" ref="F76:F86" si="21">IF(D$12=0,0,D76/D$12)</f>
        <v>0.26744094062701007</v>
      </c>
      <c r="G76" s="1"/>
      <c r="H76" s="1">
        <f>SUM(OSRRefH22_1x_0)</f>
        <v>657742.37470079784</v>
      </c>
      <c r="I76" s="1"/>
      <c r="J76" s="5">
        <f t="shared" ref="J76:J86" si="22">IF(H$12=0,0,H76/H$12)</f>
        <v>0.30525739132933549</v>
      </c>
      <c r="K76" s="1"/>
      <c r="L76" s="1">
        <f t="shared" ref="L76:L86" si="23">+D76-H76</f>
        <v>18618.235299202148</v>
      </c>
      <c r="M76" s="1"/>
      <c r="N76" s="5">
        <f t="shared" ref="N76:N86" si="24">IF(H76=0,0,L76/H76)</f>
        <v>2.8306273117451868E-2</v>
      </c>
      <c r="O76" s="14"/>
      <c r="P76" s="1">
        <f>SUM(OSRRefP22_1x_0)</f>
        <v>1923992.6500000004</v>
      </c>
      <c r="Q76" s="1"/>
      <c r="R76" s="5">
        <f t="shared" ref="R76:R86" si="25">IF(P$12=0,0,P76/P$12)</f>
        <v>0.24443154110310183</v>
      </c>
      <c r="S76" s="1"/>
      <c r="T76" s="1">
        <f>SUM(OSRRefT22_1x_0)</f>
        <v>2173763.2448013336</v>
      </c>
      <c r="U76" s="1"/>
      <c r="V76" s="5">
        <f t="shared" ref="V76:V86" si="26">IF(T$12=0,0,T76/T$12)</f>
        <v>0.2460605640699696</v>
      </c>
      <c r="W76" s="1"/>
      <c r="X76" s="1">
        <f t="shared" ref="X76:X86" si="27">+P76-T76</f>
        <v>-249770.59480133327</v>
      </c>
      <c r="Y76" s="1"/>
      <c r="Z76" s="5">
        <f t="shared" ref="Z76:Z86" si="28">IF(T76=0,0,X76/T76)</f>
        <v>-0.11490239123265722</v>
      </c>
    </row>
    <row r="77" spans="1:26" s="24" customFormat="1" hidden="1" outlineLevel="2" x14ac:dyDescent="0.25">
      <c r="A77" s="27"/>
      <c r="B77" s="11" t="str">
        <f>CONCATENATE("          ", "6001", " - ", "ADMINISTRATIVE SALARIES")</f>
        <v xml:space="preserve">          6001 - ADMINISTRATIVE SALARIES</v>
      </c>
      <c r="C77" s="11"/>
      <c r="D77" s="7">
        <v>31569.02</v>
      </c>
      <c r="E77" s="2"/>
      <c r="F77" s="6">
        <f t="shared" si="21"/>
        <v>1.2482761826524602E-2</v>
      </c>
      <c r="G77" s="2"/>
      <c r="H77" s="7">
        <v>23184.9038461538</v>
      </c>
      <c r="I77" s="2"/>
      <c r="J77" s="6">
        <f t="shared" si="22"/>
        <v>1.0760084097543247E-2</v>
      </c>
      <c r="K77" s="2"/>
      <c r="L77" s="7">
        <f t="shared" si="23"/>
        <v>8384.1161538462002</v>
      </c>
      <c r="M77" s="2"/>
      <c r="N77" s="6">
        <f t="shared" si="24"/>
        <v>0.36161962152096921</v>
      </c>
      <c r="O77" s="11"/>
      <c r="P77" s="7">
        <v>121665.78</v>
      </c>
      <c r="Q77" s="2"/>
      <c r="R77" s="6">
        <f t="shared" si="25"/>
        <v>1.5456895900777447E-2</v>
      </c>
      <c r="S77" s="2"/>
      <c r="T77" s="7">
        <v>83465.6538461538</v>
      </c>
      <c r="U77" s="2"/>
      <c r="V77" s="6">
        <f t="shared" si="26"/>
        <v>9.4479497318625521E-3</v>
      </c>
      <c r="W77" s="2"/>
      <c r="X77" s="7">
        <f t="shared" si="27"/>
        <v>38200.126153846199</v>
      </c>
      <c r="Y77" s="2"/>
      <c r="Z77" s="6">
        <f t="shared" si="28"/>
        <v>0.45767479668053312</v>
      </c>
    </row>
    <row r="78" spans="1:26" s="24" customFormat="1" hidden="1" outlineLevel="2" x14ac:dyDescent="0.25">
      <c r="A78" s="27"/>
      <c r="B78" s="11" t="str">
        <f>CONCATENATE("          ", "6002", " - ", "STAFF SALARIES")</f>
        <v xml:space="preserve">          6002 - STAFF SALARIES</v>
      </c>
      <c r="C78" s="11"/>
      <c r="D78" s="7">
        <v>137915.4</v>
      </c>
      <c r="E78" s="2"/>
      <c r="F78" s="6">
        <f t="shared" si="21"/>
        <v>5.4533371337148605E-2</v>
      </c>
      <c r="G78" s="2"/>
      <c r="H78" s="7">
        <v>131828.39389464399</v>
      </c>
      <c r="I78" s="2"/>
      <c r="J78" s="6">
        <f t="shared" si="22"/>
        <v>6.1181388293130315E-2</v>
      </c>
      <c r="K78" s="2"/>
      <c r="L78" s="7">
        <f t="shared" si="23"/>
        <v>6087.0061053560057</v>
      </c>
      <c r="M78" s="2"/>
      <c r="N78" s="6">
        <f t="shared" si="24"/>
        <v>4.617371057574049E-2</v>
      </c>
      <c r="O78" s="11"/>
      <c r="P78" s="7">
        <v>512091.02</v>
      </c>
      <c r="Q78" s="2"/>
      <c r="R78" s="6">
        <f t="shared" si="25"/>
        <v>6.5058043336942747E-2</v>
      </c>
      <c r="S78" s="2"/>
      <c r="T78" s="7">
        <v>492546.80455917999</v>
      </c>
      <c r="U78" s="2"/>
      <c r="V78" s="6">
        <f t="shared" si="26"/>
        <v>5.5754160371668894E-2</v>
      </c>
      <c r="W78" s="2"/>
      <c r="X78" s="7">
        <f t="shared" si="27"/>
        <v>19544.215440820029</v>
      </c>
      <c r="Y78" s="2"/>
      <c r="Z78" s="6">
        <f t="shared" si="28"/>
        <v>3.9679915207879037E-2</v>
      </c>
    </row>
    <row r="79" spans="1:26" s="24" customFormat="1" hidden="1" outlineLevel="2" x14ac:dyDescent="0.25">
      <c r="A79" s="27"/>
      <c r="B79" s="11" t="str">
        <f>CONCATENATE("          ", "6003", " - ", "STAFF HOURLY-9 MONTH")</f>
        <v xml:space="preserve">          6003 - STAFF HOURLY-9 MONTH</v>
      </c>
      <c r="C79" s="11"/>
      <c r="D79" s="7"/>
      <c r="E79" s="2"/>
      <c r="F79" s="6">
        <f t="shared" si="21"/>
        <v>0</v>
      </c>
      <c r="G79" s="2"/>
      <c r="H79" s="7">
        <v>0</v>
      </c>
      <c r="I79" s="2"/>
      <c r="J79" s="6">
        <f t="shared" si="22"/>
        <v>0</v>
      </c>
      <c r="K79" s="2"/>
      <c r="L79" s="7">
        <f t="shared" si="23"/>
        <v>0</v>
      </c>
      <c r="M79" s="2"/>
      <c r="N79" s="6">
        <f t="shared" si="24"/>
        <v>0</v>
      </c>
      <c r="O79" s="11"/>
      <c r="P79" s="7"/>
      <c r="Q79" s="2"/>
      <c r="R79" s="6">
        <f t="shared" si="25"/>
        <v>0</v>
      </c>
      <c r="S79" s="2"/>
      <c r="T79" s="7">
        <v>0</v>
      </c>
      <c r="U79" s="2"/>
      <c r="V79" s="6">
        <f t="shared" si="26"/>
        <v>0</v>
      </c>
      <c r="W79" s="2"/>
      <c r="X79" s="7">
        <f t="shared" si="27"/>
        <v>0</v>
      </c>
      <c r="Y79" s="2"/>
      <c r="Z79" s="6">
        <f t="shared" si="28"/>
        <v>0</v>
      </c>
    </row>
    <row r="80" spans="1:26" s="24" customFormat="1" hidden="1" outlineLevel="2" x14ac:dyDescent="0.25">
      <c r="A80" s="27"/>
      <c r="B80" s="11" t="str">
        <f>CONCATENATE("          ", "6004", " - ", "STAFF HOURLY")</f>
        <v xml:space="preserve">          6004 - STAFF HOURLY</v>
      </c>
      <c r="C80" s="11"/>
      <c r="D80" s="7">
        <v>181661.99</v>
      </c>
      <c r="E80" s="2"/>
      <c r="F80" s="6">
        <f t="shared" si="21"/>
        <v>7.1831287575683189E-2</v>
      </c>
      <c r="G80" s="2"/>
      <c r="H80" s="7">
        <v>197806.42946000001</v>
      </c>
      <c r="I80" s="2"/>
      <c r="J80" s="6">
        <f t="shared" si="22"/>
        <v>9.1801709860334132E-2</v>
      </c>
      <c r="K80" s="2"/>
      <c r="L80" s="7">
        <f t="shared" si="23"/>
        <v>-16144.439460000023</v>
      </c>
      <c r="M80" s="2"/>
      <c r="N80" s="6">
        <f t="shared" si="24"/>
        <v>-8.1617364531948733E-2</v>
      </c>
      <c r="O80" s="11"/>
      <c r="P80" s="7">
        <v>455544.8</v>
      </c>
      <c r="Q80" s="2"/>
      <c r="R80" s="6">
        <f t="shared" si="25"/>
        <v>5.7874190686489517E-2</v>
      </c>
      <c r="S80" s="2"/>
      <c r="T80" s="7">
        <v>674843.99889599998</v>
      </c>
      <c r="U80" s="2"/>
      <c r="V80" s="6">
        <f t="shared" si="26"/>
        <v>7.6389411507765057E-2</v>
      </c>
      <c r="W80" s="2"/>
      <c r="X80" s="7">
        <f t="shared" si="27"/>
        <v>-219299.19889599999</v>
      </c>
      <c r="Y80" s="2"/>
      <c r="Z80" s="6">
        <f t="shared" si="28"/>
        <v>-0.32496280511460268</v>
      </c>
    </row>
    <row r="81" spans="1:26" s="24" customFormat="1" hidden="1" outlineLevel="2" x14ac:dyDescent="0.25">
      <c r="A81" s="27"/>
      <c r="B81" s="11" t="str">
        <f>CONCATENATE("          ", "6005", " - ", "TEMPORARY WAGES-HOURLY")</f>
        <v xml:space="preserve">          6005 - TEMPORARY WAGES-HOURLY</v>
      </c>
      <c r="C81" s="11"/>
      <c r="D81" s="7">
        <v>169742.39</v>
      </c>
      <c r="E81" s="2"/>
      <c r="F81" s="6">
        <f t="shared" si="21"/>
        <v>6.7118137535946684E-2</v>
      </c>
      <c r="G81" s="2"/>
      <c r="H81" s="7">
        <v>52080.315000000002</v>
      </c>
      <c r="I81" s="2"/>
      <c r="J81" s="6">
        <f t="shared" si="22"/>
        <v>2.4170407302314834E-2</v>
      </c>
      <c r="K81" s="2"/>
      <c r="L81" s="7">
        <f t="shared" si="23"/>
        <v>117662.07500000001</v>
      </c>
      <c r="M81" s="2"/>
      <c r="N81" s="6">
        <f t="shared" si="24"/>
        <v>2.25924276763687</v>
      </c>
      <c r="O81" s="11"/>
      <c r="P81" s="7">
        <v>300759.02</v>
      </c>
      <c r="Q81" s="2"/>
      <c r="R81" s="6">
        <f t="shared" si="25"/>
        <v>3.820960062360873E-2</v>
      </c>
      <c r="S81" s="2"/>
      <c r="T81" s="7">
        <v>127040.155</v>
      </c>
      <c r="U81" s="2"/>
      <c r="V81" s="6">
        <f t="shared" si="26"/>
        <v>1.4380394126911125E-2</v>
      </c>
      <c r="W81" s="2"/>
      <c r="X81" s="7">
        <f t="shared" si="27"/>
        <v>173718.86500000002</v>
      </c>
      <c r="Y81" s="2"/>
      <c r="Z81" s="6">
        <f t="shared" si="28"/>
        <v>1.3674327223545975</v>
      </c>
    </row>
    <row r="82" spans="1:26" s="24" customFormat="1" hidden="1" outlineLevel="2" x14ac:dyDescent="0.25">
      <c r="A82" s="27"/>
      <c r="B82" s="11" t="str">
        <f>CONCATENATE("          ", "6006", " - ", "TEMPORARY PART TIME")</f>
        <v xml:space="preserve">          6006 - TEMPORARY PART TIME</v>
      </c>
      <c r="C82" s="11"/>
      <c r="D82" s="7">
        <v>781.97</v>
      </c>
      <c r="E82" s="2"/>
      <c r="F82" s="6">
        <f t="shared" si="21"/>
        <v>3.0920013562307108E-4</v>
      </c>
      <c r="G82" s="2"/>
      <c r="H82" s="7">
        <v>0</v>
      </c>
      <c r="I82" s="2"/>
      <c r="J82" s="6">
        <f t="shared" si="22"/>
        <v>0</v>
      </c>
      <c r="K82" s="2"/>
      <c r="L82" s="7">
        <f t="shared" si="23"/>
        <v>781.97</v>
      </c>
      <c r="M82" s="2"/>
      <c r="N82" s="6">
        <f t="shared" si="24"/>
        <v>0</v>
      </c>
      <c r="O82" s="11"/>
      <c r="P82" s="7">
        <v>9877.6200000000008</v>
      </c>
      <c r="Q82" s="2"/>
      <c r="R82" s="6">
        <f t="shared" si="25"/>
        <v>1.2548914254068592E-3</v>
      </c>
      <c r="S82" s="2"/>
      <c r="T82" s="7">
        <v>0</v>
      </c>
      <c r="U82" s="2"/>
      <c r="V82" s="6">
        <f t="shared" si="26"/>
        <v>0</v>
      </c>
      <c r="W82" s="2"/>
      <c r="X82" s="7">
        <f t="shared" si="27"/>
        <v>9877.6200000000008</v>
      </c>
      <c r="Y82" s="2"/>
      <c r="Z82" s="6">
        <f t="shared" si="28"/>
        <v>0</v>
      </c>
    </row>
    <row r="83" spans="1:26" s="24" customFormat="1" hidden="1" outlineLevel="2" x14ac:dyDescent="0.25">
      <c r="A83" s="27"/>
      <c r="B83" s="11" t="str">
        <f>CONCATENATE("          ", "6007", " - ", "STUDENT HOURLY")</f>
        <v xml:space="preserve">          6007 - STUDENT HOURLY</v>
      </c>
      <c r="C83" s="11"/>
      <c r="D83" s="7">
        <v>129220.92</v>
      </c>
      <c r="E83" s="2"/>
      <c r="F83" s="6">
        <f t="shared" si="21"/>
        <v>5.1095471679652699E-2</v>
      </c>
      <c r="G83" s="2"/>
      <c r="H83" s="7">
        <v>37163.25</v>
      </c>
      <c r="I83" s="2"/>
      <c r="J83" s="6">
        <f t="shared" si="22"/>
        <v>1.7247416594499316E-2</v>
      </c>
      <c r="K83" s="2"/>
      <c r="L83" s="7">
        <f t="shared" si="23"/>
        <v>92057.67</v>
      </c>
      <c r="M83" s="2"/>
      <c r="N83" s="6">
        <f t="shared" si="24"/>
        <v>2.4771156989768119</v>
      </c>
      <c r="O83" s="11"/>
      <c r="P83" s="7">
        <v>457973.87</v>
      </c>
      <c r="Q83" s="2"/>
      <c r="R83" s="6">
        <f t="shared" si="25"/>
        <v>5.8182789226898346E-2</v>
      </c>
      <c r="S83" s="2"/>
      <c r="T83" s="7">
        <v>246917.92</v>
      </c>
      <c r="U83" s="2"/>
      <c r="V83" s="6">
        <f t="shared" si="26"/>
        <v>2.7950036794249119E-2</v>
      </c>
      <c r="W83" s="2"/>
      <c r="X83" s="7">
        <f t="shared" si="27"/>
        <v>211055.94999999998</v>
      </c>
      <c r="Y83" s="2"/>
      <c r="Z83" s="6">
        <f t="shared" si="28"/>
        <v>0.85476157421057153</v>
      </c>
    </row>
    <row r="84" spans="1:26" s="24" customFormat="1" hidden="1" outlineLevel="2" x14ac:dyDescent="0.25">
      <c r="A84" s="27"/>
      <c r="B84" s="11" t="str">
        <f>CONCATENATE("          ", "6008", " - ", "STUDENT HOURLY-FICA EXEMPT")</f>
        <v xml:space="preserve">          6008 - STUDENT HOURLY-FICA EXEMPT</v>
      </c>
      <c r="C84" s="11"/>
      <c r="D84" s="7">
        <v>25468.92</v>
      </c>
      <c r="E84" s="2"/>
      <c r="F84" s="6">
        <f t="shared" si="21"/>
        <v>1.0070710536431254E-2</v>
      </c>
      <c r="G84" s="2"/>
      <c r="H84" s="7">
        <v>215679.08249999999</v>
      </c>
      <c r="I84" s="2"/>
      <c r="J84" s="6">
        <f t="shared" si="22"/>
        <v>0.10009638518151365</v>
      </c>
      <c r="K84" s="2"/>
      <c r="L84" s="7">
        <f t="shared" si="23"/>
        <v>-190210.16249999998</v>
      </c>
      <c r="M84" s="2"/>
      <c r="N84" s="6">
        <f t="shared" si="24"/>
        <v>-0.88191288786662925</v>
      </c>
      <c r="O84" s="11"/>
      <c r="P84" s="7">
        <v>66080.539999999994</v>
      </c>
      <c r="Q84" s="2"/>
      <c r="R84" s="6">
        <f t="shared" si="25"/>
        <v>8.3951299029781431E-3</v>
      </c>
      <c r="S84" s="2"/>
      <c r="T84" s="7">
        <v>548948.71250000002</v>
      </c>
      <c r="U84" s="2"/>
      <c r="V84" s="6">
        <f t="shared" si="26"/>
        <v>6.2138611537512878E-2</v>
      </c>
      <c r="W84" s="2"/>
      <c r="X84" s="7">
        <f t="shared" si="27"/>
        <v>-482868.17250000004</v>
      </c>
      <c r="Y84" s="2"/>
      <c r="Z84" s="6">
        <f t="shared" si="28"/>
        <v>-0.87962347211079395</v>
      </c>
    </row>
    <row r="85" spans="1:26" s="24" customFormat="1" hidden="1" outlineLevel="2" x14ac:dyDescent="0.25">
      <c r="A85" s="27"/>
      <c r="B85" s="11" t="str">
        <f>CONCATENATE("          ", "6009", " - ", "TEMPORARY-SEASONAL")</f>
        <v xml:space="preserve">          6009 - TEMPORARY-SEASONAL</v>
      </c>
      <c r="C85" s="11"/>
      <c r="D85" s="7"/>
      <c r="E85" s="2"/>
      <c r="F85" s="6">
        <f t="shared" si="21"/>
        <v>0</v>
      </c>
      <c r="G85" s="2"/>
      <c r="H85" s="7">
        <v>0</v>
      </c>
      <c r="I85" s="2"/>
      <c r="J85" s="6">
        <f t="shared" si="22"/>
        <v>0</v>
      </c>
      <c r="K85" s="2"/>
      <c r="L85" s="7">
        <f t="shared" si="23"/>
        <v>0</v>
      </c>
      <c r="M85" s="2"/>
      <c r="N85" s="6">
        <f t="shared" si="24"/>
        <v>0</v>
      </c>
      <c r="O85" s="11"/>
      <c r="P85" s="7"/>
      <c r="Q85" s="2"/>
      <c r="R85" s="6">
        <f t="shared" si="25"/>
        <v>0</v>
      </c>
      <c r="S85" s="2"/>
      <c r="T85" s="7">
        <v>0</v>
      </c>
      <c r="U85" s="2"/>
      <c r="V85" s="6">
        <f t="shared" si="26"/>
        <v>0</v>
      </c>
      <c r="W85" s="2"/>
      <c r="X85" s="7">
        <f t="shared" si="27"/>
        <v>0</v>
      </c>
      <c r="Y85" s="2"/>
      <c r="Z85" s="6">
        <f t="shared" si="28"/>
        <v>0</v>
      </c>
    </row>
    <row r="86" spans="1:26" s="24" customFormat="1" hidden="1" outlineLevel="2" x14ac:dyDescent="0.25">
      <c r="A86" s="27"/>
      <c r="B86" s="11" t="str">
        <f>CONCATENATE("          ", "6010", " - ", "GRATUITY")</f>
        <v xml:space="preserve">          6010 - GRATUITY</v>
      </c>
      <c r="C86" s="11"/>
      <c r="D86" s="7"/>
      <c r="E86" s="2"/>
      <c r="F86" s="6">
        <f t="shared" si="21"/>
        <v>0</v>
      </c>
      <c r="G86" s="2"/>
      <c r="H86" s="7">
        <v>0</v>
      </c>
      <c r="I86" s="2"/>
      <c r="J86" s="6">
        <f t="shared" si="22"/>
        <v>0</v>
      </c>
      <c r="K86" s="2"/>
      <c r="L86" s="7">
        <f t="shared" si="23"/>
        <v>0</v>
      </c>
      <c r="M86" s="2"/>
      <c r="N86" s="6">
        <f t="shared" si="24"/>
        <v>0</v>
      </c>
      <c r="O86" s="11"/>
      <c r="P86" s="7"/>
      <c r="Q86" s="2"/>
      <c r="R86" s="6">
        <f t="shared" si="25"/>
        <v>0</v>
      </c>
      <c r="S86" s="2"/>
      <c r="T86" s="7">
        <v>0</v>
      </c>
      <c r="U86" s="2"/>
      <c r="V86" s="6">
        <f t="shared" si="26"/>
        <v>0</v>
      </c>
      <c r="W86" s="2"/>
      <c r="X86" s="7">
        <f t="shared" si="27"/>
        <v>0</v>
      </c>
      <c r="Y86" s="2"/>
      <c r="Z86" s="6">
        <f t="shared" si="28"/>
        <v>0</v>
      </c>
    </row>
    <row r="87" spans="1:26" s="28" customFormat="1" outlineLevel="1" collapsed="1" x14ac:dyDescent="0.25">
      <c r="A87" s="29"/>
      <c r="B87" s="14" t="str">
        <f>CONCATENATE("     ","Advertising/Promo                                 ")</f>
        <v xml:space="preserve">     Advertising/Promo                                 </v>
      </c>
      <c r="C87" s="14"/>
      <c r="D87" s="1">
        <f>SUM(OSRRefD22_2x_0)</f>
        <v>1129.6600000000001</v>
      </c>
      <c r="E87" s="1"/>
      <c r="F87" s="5">
        <f t="shared" ref="F87:F95" si="29">IF(D$12=0,0,D87/D$12)</f>
        <v>4.4668085119372675E-4</v>
      </c>
      <c r="G87" s="1"/>
      <c r="H87" s="1">
        <f>SUM(OSRRefH22_2x_0)</f>
        <v>1919</v>
      </c>
      <c r="I87" s="1"/>
      <c r="J87" s="5">
        <f t="shared" ref="J87:J95" si="30">IF(H$12=0,0,H87/H$12)</f>
        <v>8.9060543533851821E-4</v>
      </c>
      <c r="K87" s="1"/>
      <c r="L87" s="1">
        <f t="shared" ref="L87:L95" si="31">+D87-H87</f>
        <v>-789.33999999999992</v>
      </c>
      <c r="M87" s="1"/>
      <c r="N87" s="5">
        <f t="shared" ref="N87:N95" si="32">IF(H87=0,0,L87/H87)</f>
        <v>-0.41132881709223551</v>
      </c>
      <c r="O87" s="14"/>
      <c r="P87" s="1">
        <f>SUM(OSRRefP22_2x_0)</f>
        <v>7055.11</v>
      </c>
      <c r="Q87" s="1"/>
      <c r="R87" s="5">
        <f t="shared" ref="R87:R95" si="33">IF(P$12=0,0,P87/P$12)</f>
        <v>8.9630873067623432E-4</v>
      </c>
      <c r="S87" s="1"/>
      <c r="T87" s="1">
        <f>SUM(OSRRefT22_2x_0)</f>
        <v>10676</v>
      </c>
      <c r="U87" s="1"/>
      <c r="V87" s="5">
        <f t="shared" ref="V87:V95" si="34">IF(T$12=0,0,T87/T$12)</f>
        <v>1.2084768607130807E-3</v>
      </c>
      <c r="W87" s="1"/>
      <c r="X87" s="1">
        <f t="shared" ref="X87:X95" si="35">+P87-T87</f>
        <v>-3620.8900000000003</v>
      </c>
      <c r="Y87" s="1"/>
      <c r="Z87" s="5">
        <f t="shared" ref="Z87:Z95" si="36">IF(T87=0,0,X87/T87)</f>
        <v>-0.33916167103784189</v>
      </c>
    </row>
    <row r="88" spans="1:26" s="24" customFormat="1" hidden="1" outlineLevel="2" x14ac:dyDescent="0.25">
      <c r="A88" s="27"/>
      <c r="B88" s="11" t="str">
        <f>CONCATENATE("          ", "6362", " - ", "ADVERTISING EXPENSE")</f>
        <v xml:space="preserve">          6362 - ADVERTISING EXPENSE</v>
      </c>
      <c r="C88" s="11"/>
      <c r="D88" s="7">
        <v>1129.6600000000001</v>
      </c>
      <c r="E88" s="2"/>
      <c r="F88" s="6">
        <f t="shared" si="29"/>
        <v>4.4668085119372675E-4</v>
      </c>
      <c r="G88" s="2"/>
      <c r="H88" s="7">
        <v>1919</v>
      </c>
      <c r="I88" s="2"/>
      <c r="J88" s="6">
        <f t="shared" si="30"/>
        <v>8.9060543533851821E-4</v>
      </c>
      <c r="K88" s="2"/>
      <c r="L88" s="7">
        <f t="shared" si="31"/>
        <v>-789.33999999999992</v>
      </c>
      <c r="M88" s="2"/>
      <c r="N88" s="6">
        <f t="shared" si="32"/>
        <v>-0.41132881709223551</v>
      </c>
      <c r="O88" s="11"/>
      <c r="P88" s="7">
        <v>7055.11</v>
      </c>
      <c r="Q88" s="2"/>
      <c r="R88" s="6">
        <f t="shared" si="33"/>
        <v>8.9630873067623432E-4</v>
      </c>
      <c r="S88" s="2"/>
      <c r="T88" s="7">
        <v>10676</v>
      </c>
      <c r="U88" s="2"/>
      <c r="V88" s="6">
        <f t="shared" si="34"/>
        <v>1.2084768607130807E-3</v>
      </c>
      <c r="W88" s="2"/>
      <c r="X88" s="7">
        <f t="shared" si="35"/>
        <v>-3620.8900000000003</v>
      </c>
      <c r="Y88" s="2"/>
      <c r="Z88" s="6">
        <f t="shared" si="36"/>
        <v>-0.33916167103784189</v>
      </c>
    </row>
    <row r="89" spans="1:26" s="28" customFormat="1" outlineLevel="1" collapsed="1" x14ac:dyDescent="0.25">
      <c r="A89" s="29"/>
      <c r="B89" s="14" t="str">
        <f>CONCATENATE("     ","Bad Debts/Over/Short                              ")</f>
        <v xml:space="preserve">     Bad Debts/Over/Short                              </v>
      </c>
      <c r="C89" s="14"/>
      <c r="D89" s="1">
        <f>SUM(OSRRefD22_3x_0)</f>
        <v>-49.54</v>
      </c>
      <c r="E89" s="1"/>
      <c r="F89" s="5">
        <f t="shared" si="29"/>
        <v>-1.9588698695304093E-5</v>
      </c>
      <c r="G89" s="1"/>
      <c r="H89" s="1">
        <f>SUM(OSRRefH22_3x_0)</f>
        <v>278</v>
      </c>
      <c r="I89" s="1"/>
      <c r="J89" s="5">
        <f t="shared" si="30"/>
        <v>1.2901944295159358E-4</v>
      </c>
      <c r="K89" s="1"/>
      <c r="L89" s="1">
        <f t="shared" si="31"/>
        <v>-327.54000000000002</v>
      </c>
      <c r="M89" s="1"/>
      <c r="N89" s="5">
        <f t="shared" si="32"/>
        <v>-1.178201438848921</v>
      </c>
      <c r="O89" s="14"/>
      <c r="P89" s="1">
        <f>SUM(OSRRefP22_3x_0)</f>
        <v>98.67</v>
      </c>
      <c r="Q89" s="1"/>
      <c r="R89" s="5">
        <f t="shared" si="33"/>
        <v>1.2535422191266196E-5</v>
      </c>
      <c r="S89" s="1"/>
      <c r="T89" s="1">
        <f>SUM(OSRRefT22_3x_0)</f>
        <v>1094</v>
      </c>
      <c r="U89" s="1"/>
      <c r="V89" s="5">
        <f t="shared" si="34"/>
        <v>1.2383605148183873E-4</v>
      </c>
      <c r="W89" s="1"/>
      <c r="X89" s="1">
        <f t="shared" si="35"/>
        <v>-995.33</v>
      </c>
      <c r="Y89" s="1"/>
      <c r="Z89" s="5">
        <f t="shared" si="36"/>
        <v>-0.90980804387568559</v>
      </c>
    </row>
    <row r="90" spans="1:26" s="24" customFormat="1" hidden="1" outlineLevel="2" x14ac:dyDescent="0.25">
      <c r="A90" s="27"/>
      <c r="B90" s="11" t="str">
        <f>CONCATENATE("          ", "6272", " - ", "CASH (OVER/SHORT)")</f>
        <v xml:space="preserve">          6272 - CASH (OVER/SHORT)</v>
      </c>
      <c r="C90" s="11"/>
      <c r="D90" s="7">
        <v>-49.54</v>
      </c>
      <c r="E90" s="2"/>
      <c r="F90" s="6">
        <f t="shared" si="29"/>
        <v>-1.9588698695304093E-5</v>
      </c>
      <c r="G90" s="2"/>
      <c r="H90" s="7">
        <v>278</v>
      </c>
      <c r="I90" s="2"/>
      <c r="J90" s="6">
        <f t="shared" si="30"/>
        <v>1.2901944295159358E-4</v>
      </c>
      <c r="K90" s="2"/>
      <c r="L90" s="7">
        <f t="shared" si="31"/>
        <v>-327.54000000000002</v>
      </c>
      <c r="M90" s="2"/>
      <c r="N90" s="6">
        <f t="shared" si="32"/>
        <v>-1.178201438848921</v>
      </c>
      <c r="O90" s="11"/>
      <c r="P90" s="7">
        <v>98.67</v>
      </c>
      <c r="Q90" s="2"/>
      <c r="R90" s="6">
        <f t="shared" si="33"/>
        <v>1.2535422191266196E-5</v>
      </c>
      <c r="S90" s="2"/>
      <c r="T90" s="7">
        <v>1094</v>
      </c>
      <c r="U90" s="2"/>
      <c r="V90" s="6">
        <f t="shared" si="34"/>
        <v>1.2383605148183873E-4</v>
      </c>
      <c r="W90" s="2"/>
      <c r="X90" s="7">
        <f t="shared" si="35"/>
        <v>-995.33</v>
      </c>
      <c r="Y90" s="2"/>
      <c r="Z90" s="6">
        <f t="shared" si="36"/>
        <v>-0.90980804387568559</v>
      </c>
    </row>
    <row r="91" spans="1:26" s="28" customFormat="1" outlineLevel="1" collapsed="1" x14ac:dyDescent="0.25">
      <c r="A91" s="29"/>
      <c r="B91" s="14" t="str">
        <f>CONCATENATE("     ","Bank/card Fees                                    ")</f>
        <v xml:space="preserve">     Bank/card Fees                                    </v>
      </c>
      <c r="C91" s="14"/>
      <c r="D91" s="1">
        <f>SUM(OSRRefD22_4x_0)</f>
        <v>20622.490000000002</v>
      </c>
      <c r="E91" s="1"/>
      <c r="F91" s="5">
        <f t="shared" si="29"/>
        <v>8.1543751101518323E-3</v>
      </c>
      <c r="G91" s="1"/>
      <c r="H91" s="1">
        <f>SUM(OSRRefH22_4x_0)</f>
        <v>20432.5</v>
      </c>
      <c r="I91" s="1"/>
      <c r="J91" s="5">
        <f t="shared" si="30"/>
        <v>9.4826970075843012E-3</v>
      </c>
      <c r="K91" s="1"/>
      <c r="L91" s="1">
        <f t="shared" si="31"/>
        <v>189.9900000000016</v>
      </c>
      <c r="M91" s="1"/>
      <c r="N91" s="5">
        <f t="shared" si="32"/>
        <v>9.298421632203676E-3</v>
      </c>
      <c r="O91" s="14"/>
      <c r="P91" s="1">
        <f>SUM(OSRRefP22_4x_0)</f>
        <v>69128.22</v>
      </c>
      <c r="Q91" s="1"/>
      <c r="R91" s="5">
        <f t="shared" si="33"/>
        <v>8.7823190739914018E-3</v>
      </c>
      <c r="S91" s="1"/>
      <c r="T91" s="1">
        <f>SUM(OSRRefT22_4x_0)</f>
        <v>114017.25</v>
      </c>
      <c r="U91" s="1"/>
      <c r="V91" s="5">
        <f t="shared" si="34"/>
        <v>1.2906257806963141E-2</v>
      </c>
      <c r="W91" s="1"/>
      <c r="X91" s="1">
        <f t="shared" si="35"/>
        <v>-44889.03</v>
      </c>
      <c r="Y91" s="1"/>
      <c r="Z91" s="5">
        <f t="shared" si="36"/>
        <v>-0.39370384744413672</v>
      </c>
    </row>
    <row r="92" spans="1:26" s="24" customFormat="1" hidden="1" outlineLevel="2" x14ac:dyDescent="0.25">
      <c r="A92" s="27"/>
      <c r="B92" s="11" t="str">
        <f>CONCATENATE("          ", "6381", " - ", "BANK/CREDIT CARD FEES")</f>
        <v xml:space="preserve">          6381 - BANK/CREDIT CARD FEES</v>
      </c>
      <c r="C92" s="11"/>
      <c r="D92" s="7">
        <v>20622.490000000002</v>
      </c>
      <c r="E92" s="2"/>
      <c r="F92" s="6">
        <f t="shared" si="29"/>
        <v>8.1543751101518323E-3</v>
      </c>
      <c r="G92" s="2"/>
      <c r="H92" s="7">
        <v>20432.5</v>
      </c>
      <c r="I92" s="2"/>
      <c r="J92" s="6">
        <f t="shared" si="30"/>
        <v>9.4826970075843012E-3</v>
      </c>
      <c r="K92" s="2"/>
      <c r="L92" s="7">
        <f t="shared" si="31"/>
        <v>189.9900000000016</v>
      </c>
      <c r="M92" s="2"/>
      <c r="N92" s="6">
        <f t="shared" si="32"/>
        <v>9.298421632203676E-3</v>
      </c>
      <c r="O92" s="11"/>
      <c r="P92" s="7">
        <v>69128.22</v>
      </c>
      <c r="Q92" s="2"/>
      <c r="R92" s="6">
        <f t="shared" si="33"/>
        <v>8.7823190739914018E-3</v>
      </c>
      <c r="S92" s="2"/>
      <c r="T92" s="7">
        <v>114017.25</v>
      </c>
      <c r="U92" s="2"/>
      <c r="V92" s="6">
        <f t="shared" si="34"/>
        <v>1.2906257806963141E-2</v>
      </c>
      <c r="W92" s="2"/>
      <c r="X92" s="7">
        <f t="shared" si="35"/>
        <v>-44889.03</v>
      </c>
      <c r="Y92" s="2"/>
      <c r="Z92" s="6">
        <f t="shared" si="36"/>
        <v>-0.39370384744413672</v>
      </c>
    </row>
    <row r="93" spans="1:26" s="28" customFormat="1" outlineLevel="1" collapsed="1" x14ac:dyDescent="0.25">
      <c r="A93" s="29"/>
      <c r="B93" s="14" t="str">
        <f>CONCATENATE("     ","Depreciation                                      ")</f>
        <v xml:space="preserve">     Depreciation                                      </v>
      </c>
      <c r="C93" s="14"/>
      <c r="D93" s="1">
        <f>SUM(OSRRefD22_5x_0)</f>
        <v>70762.13</v>
      </c>
      <c r="E93" s="1"/>
      <c r="F93" s="5">
        <f t="shared" si="29"/>
        <v>2.7980178514492103E-2</v>
      </c>
      <c r="G93" s="1"/>
      <c r="H93" s="1">
        <f>SUM(OSRRefH22_5x_0)</f>
        <v>70087</v>
      </c>
      <c r="I93" s="1"/>
      <c r="J93" s="5">
        <f t="shared" si="30"/>
        <v>3.2527286683986828E-2</v>
      </c>
      <c r="K93" s="1"/>
      <c r="L93" s="1">
        <f t="shared" si="31"/>
        <v>675.13000000000466</v>
      </c>
      <c r="M93" s="1"/>
      <c r="N93" s="5">
        <f t="shared" si="32"/>
        <v>9.6327421633113797E-3</v>
      </c>
      <c r="O93" s="14"/>
      <c r="P93" s="1">
        <f>SUM(OSRRefP22_5x_0)</f>
        <v>285886.48</v>
      </c>
      <c r="Q93" s="1"/>
      <c r="R93" s="5">
        <f t="shared" si="33"/>
        <v>3.6320135051940601E-2</v>
      </c>
      <c r="S93" s="1"/>
      <c r="T93" s="1">
        <f>SUM(OSRRefT22_5x_0)</f>
        <v>283183</v>
      </c>
      <c r="U93" s="1"/>
      <c r="V93" s="5">
        <f t="shared" si="34"/>
        <v>3.2055086441299389E-2</v>
      </c>
      <c r="W93" s="1"/>
      <c r="X93" s="1">
        <f t="shared" si="35"/>
        <v>2703.4799999999814</v>
      </c>
      <c r="Y93" s="1"/>
      <c r="Z93" s="5">
        <f t="shared" si="36"/>
        <v>9.5467595159313291E-3</v>
      </c>
    </row>
    <row r="94" spans="1:26" s="24" customFormat="1" hidden="1" outlineLevel="2" x14ac:dyDescent="0.25">
      <c r="A94" s="27"/>
      <c r="B94" s="11" t="str">
        <f>CONCATENATE("          ", "6321", " - ", "BUILDING DEPRECIATION")</f>
        <v xml:space="preserve">          6321 - BUILDING DEPRECIATION</v>
      </c>
      <c r="C94" s="11"/>
      <c r="D94" s="7">
        <v>45016.43</v>
      </c>
      <c r="E94" s="2"/>
      <c r="F94" s="6">
        <f t="shared" si="29"/>
        <v>1.7800025910541948E-2</v>
      </c>
      <c r="G94" s="2"/>
      <c r="H94" s="7"/>
      <c r="I94" s="2"/>
      <c r="J94" s="6">
        <f t="shared" si="30"/>
        <v>0</v>
      </c>
      <c r="K94" s="2"/>
      <c r="L94" s="7">
        <f t="shared" si="31"/>
        <v>45016.43</v>
      </c>
      <c r="M94" s="2"/>
      <c r="N94" s="6">
        <f t="shared" si="32"/>
        <v>0</v>
      </c>
      <c r="O94" s="11"/>
      <c r="P94" s="7">
        <v>180153.86</v>
      </c>
      <c r="Q94" s="2"/>
      <c r="R94" s="6">
        <f t="shared" si="33"/>
        <v>2.2887450030265159E-2</v>
      </c>
      <c r="S94" s="2"/>
      <c r="T94" s="7"/>
      <c r="U94" s="2"/>
      <c r="V94" s="6">
        <f t="shared" si="34"/>
        <v>0</v>
      </c>
      <c r="W94" s="2"/>
      <c r="X94" s="7">
        <f t="shared" si="35"/>
        <v>180153.86</v>
      </c>
      <c r="Y94" s="2"/>
      <c r="Z94" s="6">
        <f t="shared" si="36"/>
        <v>0</v>
      </c>
    </row>
    <row r="95" spans="1:26" s="24" customFormat="1" hidden="1" outlineLevel="2" x14ac:dyDescent="0.25">
      <c r="A95" s="27"/>
      <c r="B95" s="11" t="str">
        <f>CONCATENATE("          ", "6322", " - ", "EQUIPMENT DEPRECIATION EXPENSE")</f>
        <v xml:space="preserve">          6322 - EQUIPMENT DEPRECIATION EXPENSE</v>
      </c>
      <c r="C95" s="11"/>
      <c r="D95" s="7">
        <v>25745.7</v>
      </c>
      <c r="E95" s="2"/>
      <c r="F95" s="6">
        <f t="shared" si="29"/>
        <v>1.0180152603950153E-2</v>
      </c>
      <c r="G95" s="2"/>
      <c r="H95" s="7">
        <v>70087</v>
      </c>
      <c r="I95" s="2"/>
      <c r="J95" s="6">
        <f t="shared" si="30"/>
        <v>3.2527286683986828E-2</v>
      </c>
      <c r="K95" s="2"/>
      <c r="L95" s="7">
        <f t="shared" si="31"/>
        <v>-44341.3</v>
      </c>
      <c r="M95" s="2"/>
      <c r="N95" s="6">
        <f t="shared" si="32"/>
        <v>-0.63266083581834009</v>
      </c>
      <c r="O95" s="11"/>
      <c r="P95" s="7">
        <v>105732.62</v>
      </c>
      <c r="Q95" s="2"/>
      <c r="R95" s="6">
        <f t="shared" si="33"/>
        <v>1.3432685021675442E-2</v>
      </c>
      <c r="S95" s="2"/>
      <c r="T95" s="7">
        <v>283183</v>
      </c>
      <c r="U95" s="2"/>
      <c r="V95" s="6">
        <f t="shared" si="34"/>
        <v>3.2055086441299389E-2</v>
      </c>
      <c r="W95" s="2"/>
      <c r="X95" s="7">
        <f t="shared" si="35"/>
        <v>-177450.38</v>
      </c>
      <c r="Y95" s="2"/>
      <c r="Z95" s="6">
        <f t="shared" si="36"/>
        <v>-0.62662794023652546</v>
      </c>
    </row>
    <row r="96" spans="1:26" s="28" customFormat="1" outlineLevel="1" collapsed="1" x14ac:dyDescent="0.25">
      <c r="A96" s="29"/>
      <c r="B96" s="14" t="str">
        <f>CONCATENATE("     ","Discounts and Markdowns                           ")</f>
        <v xml:space="preserve">     Discounts and Markdowns                           </v>
      </c>
      <c r="C96" s="14"/>
      <c r="D96" s="1">
        <f>SUM(OSRRefD22_6x_0)</f>
        <v>-43.75</v>
      </c>
      <c r="E96" s="1"/>
      <c r="F96" s="5">
        <f t="shared" ref="F96:F98" si="37">IF(D$12=0,0,D96/D$12)</f>
        <v>-1.72992645926434E-5</v>
      </c>
      <c r="G96" s="1"/>
      <c r="H96" s="1">
        <f>SUM(OSRRefH22_6x_0)</f>
        <v>0</v>
      </c>
      <c r="I96" s="1"/>
      <c r="J96" s="5">
        <f t="shared" ref="J96:J98" si="38">IF(H$12=0,0,H96/H$12)</f>
        <v>0</v>
      </c>
      <c r="K96" s="1"/>
      <c r="L96" s="1">
        <f t="shared" ref="L96:L98" si="39">+D96-H96</f>
        <v>-43.75</v>
      </c>
      <c r="M96" s="1"/>
      <c r="N96" s="5">
        <f t="shared" ref="N96:N98" si="40">IF(H96=0,0,L96/H96)</f>
        <v>0</v>
      </c>
      <c r="O96" s="14"/>
      <c r="P96" s="1">
        <f>SUM(OSRRefP22_6x_0)</f>
        <v>-66.239999999999995</v>
      </c>
      <c r="Q96" s="1"/>
      <c r="R96" s="5">
        <f t="shared" ref="R96:R98" si="41">IF(P$12=0,0,P96/P$12)</f>
        <v>-8.4153883242066764E-6</v>
      </c>
      <c r="S96" s="1"/>
      <c r="T96" s="1">
        <f>SUM(OSRRefT22_6x_0)</f>
        <v>0</v>
      </c>
      <c r="U96" s="1"/>
      <c r="V96" s="5">
        <f t="shared" ref="V96:V98" si="42">IF(T$12=0,0,T96/T$12)</f>
        <v>0</v>
      </c>
      <c r="W96" s="1"/>
      <c r="X96" s="1">
        <f t="shared" ref="X96:X98" si="43">+P96-T96</f>
        <v>-66.239999999999995</v>
      </c>
      <c r="Y96" s="1"/>
      <c r="Z96" s="5">
        <f t="shared" ref="Z96:Z98" si="44">IF(T96=0,0,X96/T96)</f>
        <v>0</v>
      </c>
    </row>
    <row r="97" spans="1:26" s="24" customFormat="1" hidden="1" outlineLevel="2" x14ac:dyDescent="0.25">
      <c r="A97" s="27"/>
      <c r="B97" s="11" t="str">
        <f>CONCATENATE("          ", "6382", " - ", "DISCOUNTS/MARK DOWNS")</f>
        <v xml:space="preserve">          6382 - DISCOUNTS/MARK DOWNS</v>
      </c>
      <c r="C97" s="11"/>
      <c r="D97" s="7"/>
      <c r="E97" s="2"/>
      <c r="F97" s="6">
        <f t="shared" si="37"/>
        <v>0</v>
      </c>
      <c r="G97" s="2"/>
      <c r="H97" s="7"/>
      <c r="I97" s="2"/>
      <c r="J97" s="6">
        <f t="shared" si="38"/>
        <v>0</v>
      </c>
      <c r="K97" s="2"/>
      <c r="L97" s="7">
        <f t="shared" si="39"/>
        <v>0</v>
      </c>
      <c r="M97" s="2"/>
      <c r="N97" s="6">
        <f t="shared" si="40"/>
        <v>0</v>
      </c>
      <c r="O97" s="11"/>
      <c r="P97" s="7"/>
      <c r="Q97" s="2"/>
      <c r="R97" s="6">
        <f t="shared" si="41"/>
        <v>0</v>
      </c>
      <c r="S97" s="2"/>
      <c r="T97" s="7">
        <v>0</v>
      </c>
      <c r="U97" s="2"/>
      <c r="V97" s="6">
        <f t="shared" si="42"/>
        <v>0</v>
      </c>
      <c r="W97" s="2"/>
      <c r="X97" s="7">
        <f t="shared" si="43"/>
        <v>0</v>
      </c>
      <c r="Y97" s="2"/>
      <c r="Z97" s="6">
        <f t="shared" si="44"/>
        <v>0</v>
      </c>
    </row>
    <row r="98" spans="1:26" s="24" customFormat="1" hidden="1" outlineLevel="2" x14ac:dyDescent="0.25">
      <c r="A98" s="27"/>
      <c r="B98" s="11" t="str">
        <f>CONCATENATE("          ", "9175", " - ", "EARNED DISCOUNTS")</f>
        <v xml:space="preserve">          9175 - EARNED DISCOUNTS</v>
      </c>
      <c r="C98" s="11"/>
      <c r="D98" s="7">
        <v>-43.75</v>
      </c>
      <c r="E98" s="2"/>
      <c r="F98" s="6">
        <f t="shared" si="37"/>
        <v>-1.72992645926434E-5</v>
      </c>
      <c r="G98" s="2"/>
      <c r="H98" s="7"/>
      <c r="I98" s="2"/>
      <c r="J98" s="6">
        <f t="shared" si="38"/>
        <v>0</v>
      </c>
      <c r="K98" s="2"/>
      <c r="L98" s="7">
        <f t="shared" si="39"/>
        <v>-43.75</v>
      </c>
      <c r="M98" s="2"/>
      <c r="N98" s="6">
        <f t="shared" si="40"/>
        <v>0</v>
      </c>
      <c r="O98" s="11"/>
      <c r="P98" s="7">
        <v>-66.239999999999995</v>
      </c>
      <c r="Q98" s="2"/>
      <c r="R98" s="6">
        <f t="shared" si="41"/>
        <v>-8.4153883242066764E-6</v>
      </c>
      <c r="S98" s="2"/>
      <c r="T98" s="7"/>
      <c r="U98" s="2"/>
      <c r="V98" s="6">
        <f t="shared" si="42"/>
        <v>0</v>
      </c>
      <c r="W98" s="2"/>
      <c r="X98" s="7">
        <f t="shared" si="43"/>
        <v>-66.239999999999995</v>
      </c>
      <c r="Y98" s="2"/>
      <c r="Z98" s="6">
        <f t="shared" si="44"/>
        <v>0</v>
      </c>
    </row>
    <row r="99" spans="1:26" s="28" customFormat="1" outlineLevel="1" collapsed="1" x14ac:dyDescent="0.25">
      <c r="A99" s="29"/>
      <c r="B99" s="14" t="str">
        <f>CONCATENATE("     ","Donations                                         ")</f>
        <v xml:space="preserve">     Donations                                         </v>
      </c>
      <c r="C99" s="14"/>
      <c r="D99" s="1">
        <f>SUM(OSRRefD22_7x_0)</f>
        <v>11982.04</v>
      </c>
      <c r="E99" s="1"/>
      <c r="F99" s="5">
        <f t="shared" ref="F99:F107" si="45">IF(D$12=0,0,D99/D$12)</f>
        <v>4.7378395501631301E-3</v>
      </c>
      <c r="G99" s="1"/>
      <c r="H99" s="1">
        <f>SUM(OSRRefH22_7x_0)</f>
        <v>16750</v>
      </c>
      <c r="I99" s="1"/>
      <c r="J99" s="5">
        <f t="shared" ref="J99:J107" si="46">IF(H$12=0,0,H99/H$12)</f>
        <v>7.7736534871913395E-3</v>
      </c>
      <c r="K99" s="1"/>
      <c r="L99" s="1">
        <f t="shared" ref="L99:L107" si="47">+D99-H99</f>
        <v>-4767.9599999999991</v>
      </c>
      <c r="M99" s="1"/>
      <c r="N99" s="5">
        <f t="shared" ref="N99:N107" si="48">IF(H99=0,0,L99/H99)</f>
        <v>-0.28465432835820892</v>
      </c>
      <c r="O99" s="14"/>
      <c r="P99" s="1">
        <f>SUM(OSRRefP22_7x_0)</f>
        <v>25897.22</v>
      </c>
      <c r="Q99" s="1"/>
      <c r="R99" s="5">
        <f t="shared" ref="R99:R107" si="49">IF(P$12=0,0,P99/P$12)</f>
        <v>3.2900839797314558E-3</v>
      </c>
      <c r="S99" s="1"/>
      <c r="T99" s="1">
        <f>SUM(OSRRefT22_7x_0)</f>
        <v>51500</v>
      </c>
      <c r="U99" s="1"/>
      <c r="V99" s="5">
        <f t="shared" ref="V99:V107" si="50">IF(T$12=0,0,T99/T$12)</f>
        <v>5.8295764637245834E-3</v>
      </c>
      <c r="W99" s="1"/>
      <c r="X99" s="1">
        <f t="shared" ref="X99:X107" si="51">+P99-T99</f>
        <v>-25602.78</v>
      </c>
      <c r="Y99" s="1"/>
      <c r="Z99" s="5">
        <f t="shared" ref="Z99:Z107" si="52">IF(T99=0,0,X99/T99)</f>
        <v>-0.49714135922330094</v>
      </c>
    </row>
    <row r="100" spans="1:26" s="24" customFormat="1" hidden="1" outlineLevel="2" x14ac:dyDescent="0.25">
      <c r="A100" s="27"/>
      <c r="B100" s="11" t="str">
        <f>CONCATENATE("          ", "6399", " - ", "DONATION-ON CAMPUS")</f>
        <v xml:space="preserve">          6399 - DONATION-ON CAMPUS</v>
      </c>
      <c r="C100" s="11"/>
      <c r="D100" s="7">
        <v>11982.04</v>
      </c>
      <c r="E100" s="2"/>
      <c r="F100" s="6">
        <f t="shared" si="45"/>
        <v>4.7378395501631301E-3</v>
      </c>
      <c r="G100" s="2"/>
      <c r="H100" s="7">
        <v>16750</v>
      </c>
      <c r="I100" s="2"/>
      <c r="J100" s="6">
        <f t="shared" si="46"/>
        <v>7.7736534871913395E-3</v>
      </c>
      <c r="K100" s="2"/>
      <c r="L100" s="7">
        <f t="shared" si="47"/>
        <v>-4767.9599999999991</v>
      </c>
      <c r="M100" s="2"/>
      <c r="N100" s="6">
        <f t="shared" si="48"/>
        <v>-0.28465432835820892</v>
      </c>
      <c r="O100" s="11"/>
      <c r="P100" s="7">
        <v>25897.22</v>
      </c>
      <c r="Q100" s="2"/>
      <c r="R100" s="6">
        <f t="shared" si="49"/>
        <v>3.2900839797314558E-3</v>
      </c>
      <c r="S100" s="2"/>
      <c r="T100" s="7">
        <v>51500</v>
      </c>
      <c r="U100" s="2"/>
      <c r="V100" s="6">
        <f t="shared" si="50"/>
        <v>5.8295764637245834E-3</v>
      </c>
      <c r="W100" s="2"/>
      <c r="X100" s="7">
        <f t="shared" si="51"/>
        <v>-25602.78</v>
      </c>
      <c r="Y100" s="2"/>
      <c r="Z100" s="6">
        <f t="shared" si="52"/>
        <v>-0.49714135922330094</v>
      </c>
    </row>
    <row r="101" spans="1:26" s="28" customFormat="1" outlineLevel="1" collapsed="1" x14ac:dyDescent="0.25">
      <c r="A101" s="29"/>
      <c r="B101" s="14" t="str">
        <f>CONCATENATE("     ","Employees' Appreciation                           ")</f>
        <v xml:space="preserve">     Employees' Appreciation                           </v>
      </c>
      <c r="C101" s="14"/>
      <c r="D101" s="1">
        <f>SUM(OSRRefD22_8x_0)</f>
        <v>123.17</v>
      </c>
      <c r="E101" s="1"/>
      <c r="F101" s="5">
        <f t="shared" si="45"/>
        <v>4.8702866740020287E-5</v>
      </c>
      <c r="G101" s="1"/>
      <c r="H101" s="1">
        <f>SUM(OSRRefH22_8x_0)</f>
        <v>505</v>
      </c>
      <c r="I101" s="1"/>
      <c r="J101" s="5">
        <f t="shared" si="46"/>
        <v>2.3436985140487323E-4</v>
      </c>
      <c r="K101" s="1"/>
      <c r="L101" s="1">
        <f t="shared" si="47"/>
        <v>-381.83</v>
      </c>
      <c r="M101" s="1"/>
      <c r="N101" s="5">
        <f t="shared" si="48"/>
        <v>-0.7560990099009901</v>
      </c>
      <c r="O101" s="14"/>
      <c r="P101" s="1">
        <f>SUM(OSRRefP22_8x_0)</f>
        <v>1540.29</v>
      </c>
      <c r="Q101" s="1"/>
      <c r="R101" s="5">
        <f t="shared" si="49"/>
        <v>1.9568445775803596E-4</v>
      </c>
      <c r="S101" s="1"/>
      <c r="T101" s="1">
        <f>SUM(OSRRefT22_8x_0)</f>
        <v>2140</v>
      </c>
      <c r="U101" s="1"/>
      <c r="V101" s="5">
        <f t="shared" si="50"/>
        <v>2.4223871130816713E-4</v>
      </c>
      <c r="W101" s="1"/>
      <c r="X101" s="1">
        <f t="shared" si="51"/>
        <v>-599.71</v>
      </c>
      <c r="Y101" s="1"/>
      <c r="Z101" s="5">
        <f t="shared" si="52"/>
        <v>-0.28023831775700936</v>
      </c>
    </row>
    <row r="102" spans="1:26" s="24" customFormat="1" hidden="1" outlineLevel="2" x14ac:dyDescent="0.25">
      <c r="A102" s="27"/>
      <c r="B102" s="11" t="str">
        <f>CONCATENATE("          ", "6277", " - ", "EMPLOYEE APPRECIATION")</f>
        <v xml:space="preserve">          6277 - EMPLOYEE APPRECIATION</v>
      </c>
      <c r="C102" s="11"/>
      <c r="D102" s="7">
        <v>123.17</v>
      </c>
      <c r="E102" s="2"/>
      <c r="F102" s="6">
        <f t="shared" si="45"/>
        <v>4.8702866740020287E-5</v>
      </c>
      <c r="G102" s="2"/>
      <c r="H102" s="7">
        <v>505</v>
      </c>
      <c r="I102" s="2"/>
      <c r="J102" s="6">
        <f t="shared" si="46"/>
        <v>2.3436985140487323E-4</v>
      </c>
      <c r="K102" s="2"/>
      <c r="L102" s="7">
        <f t="shared" si="47"/>
        <v>-381.83</v>
      </c>
      <c r="M102" s="2"/>
      <c r="N102" s="6">
        <f t="shared" si="48"/>
        <v>-0.7560990099009901</v>
      </c>
      <c r="O102" s="11"/>
      <c r="P102" s="7">
        <v>1540.29</v>
      </c>
      <c r="Q102" s="2"/>
      <c r="R102" s="6">
        <f t="shared" si="49"/>
        <v>1.9568445775803596E-4</v>
      </c>
      <c r="S102" s="2"/>
      <c r="T102" s="7">
        <v>2140</v>
      </c>
      <c r="U102" s="2"/>
      <c r="V102" s="6">
        <f t="shared" si="50"/>
        <v>2.4223871130816713E-4</v>
      </c>
      <c r="W102" s="2"/>
      <c r="X102" s="7">
        <f t="shared" si="51"/>
        <v>-599.71</v>
      </c>
      <c r="Y102" s="2"/>
      <c r="Z102" s="6">
        <f t="shared" si="52"/>
        <v>-0.28023831775700936</v>
      </c>
    </row>
    <row r="103" spans="1:26" s="28" customFormat="1" outlineLevel="1" collapsed="1" x14ac:dyDescent="0.25">
      <c r="A103" s="29"/>
      <c r="B103" s="14" t="str">
        <f>CONCATENATE("     ","Equipment Rental                                  ")</f>
        <v xml:space="preserve">     Equipment Rental                                  </v>
      </c>
      <c r="C103" s="14"/>
      <c r="D103" s="1">
        <f>SUM(OSRRefD22_9x_0)</f>
        <v>4246.51</v>
      </c>
      <c r="E103" s="1"/>
      <c r="F103" s="5">
        <f t="shared" si="45"/>
        <v>1.6791200019498544E-3</v>
      </c>
      <c r="G103" s="1"/>
      <c r="H103" s="1">
        <f>SUM(OSRRefH22_9x_0)</f>
        <v>3446</v>
      </c>
      <c r="I103" s="1"/>
      <c r="J103" s="5">
        <f t="shared" si="46"/>
        <v>1.5992841741409765E-3</v>
      </c>
      <c r="K103" s="1"/>
      <c r="L103" s="1">
        <f t="shared" si="47"/>
        <v>800.51000000000022</v>
      </c>
      <c r="M103" s="1"/>
      <c r="N103" s="5">
        <f t="shared" si="48"/>
        <v>0.23230121880441099</v>
      </c>
      <c r="O103" s="14"/>
      <c r="P103" s="1">
        <f>SUM(OSRRefP22_9x_0)</f>
        <v>16335.6</v>
      </c>
      <c r="Q103" s="1"/>
      <c r="R103" s="5">
        <f t="shared" si="49"/>
        <v>2.0753384285765487E-3</v>
      </c>
      <c r="S103" s="1"/>
      <c r="T103" s="1">
        <f>SUM(OSRRefT22_9x_0)</f>
        <v>13584</v>
      </c>
      <c r="U103" s="1"/>
      <c r="V103" s="5">
        <f t="shared" si="50"/>
        <v>1.5376498385094124E-3</v>
      </c>
      <c r="W103" s="1"/>
      <c r="X103" s="1">
        <f t="shared" si="51"/>
        <v>2751.6000000000004</v>
      </c>
      <c r="Y103" s="1"/>
      <c r="Z103" s="5">
        <f t="shared" si="52"/>
        <v>0.20256183745583042</v>
      </c>
    </row>
    <row r="104" spans="1:26" s="24" customFormat="1" hidden="1" outlineLevel="2" x14ac:dyDescent="0.25">
      <c r="A104" s="27"/>
      <c r="B104" s="11" t="str">
        <f>CONCATENATE("          ", "6351", " - ", "EQUIPMENT RENTAL")</f>
        <v xml:space="preserve">          6351 - EQUIPMENT RENTAL</v>
      </c>
      <c r="C104" s="11"/>
      <c r="D104" s="7">
        <v>4246.51</v>
      </c>
      <c r="E104" s="2"/>
      <c r="F104" s="6">
        <f t="shared" si="45"/>
        <v>1.6791200019498544E-3</v>
      </c>
      <c r="G104" s="2"/>
      <c r="H104" s="7">
        <v>3446</v>
      </c>
      <c r="I104" s="2"/>
      <c r="J104" s="6">
        <f t="shared" si="46"/>
        <v>1.5992841741409765E-3</v>
      </c>
      <c r="K104" s="2"/>
      <c r="L104" s="7">
        <f t="shared" si="47"/>
        <v>800.51000000000022</v>
      </c>
      <c r="M104" s="2"/>
      <c r="N104" s="6">
        <f t="shared" si="48"/>
        <v>0.23230121880441099</v>
      </c>
      <c r="O104" s="11"/>
      <c r="P104" s="7">
        <v>16335.6</v>
      </c>
      <c r="Q104" s="2"/>
      <c r="R104" s="6">
        <f t="shared" si="49"/>
        <v>2.0753384285765487E-3</v>
      </c>
      <c r="S104" s="2"/>
      <c r="T104" s="7">
        <v>13584</v>
      </c>
      <c r="U104" s="2"/>
      <c r="V104" s="6">
        <f t="shared" si="50"/>
        <v>1.5376498385094124E-3</v>
      </c>
      <c r="W104" s="2"/>
      <c r="X104" s="7">
        <f t="shared" si="51"/>
        <v>2751.6000000000004</v>
      </c>
      <c r="Y104" s="2"/>
      <c r="Z104" s="6">
        <f t="shared" si="52"/>
        <v>0.20256183745583042</v>
      </c>
    </row>
    <row r="105" spans="1:26" s="28" customFormat="1" outlineLevel="1" collapsed="1" x14ac:dyDescent="0.25">
      <c r="A105" s="29"/>
      <c r="B105" s="14" t="str">
        <f>CONCATENATE("     ","Freight out/Postage                               ")</f>
        <v xml:space="preserve">     Freight out/Postage                               </v>
      </c>
      <c r="C105" s="14"/>
      <c r="D105" s="1">
        <f>SUM(OSRRefD22_10x_0)</f>
        <v>-23513.759999999998</v>
      </c>
      <c r="E105" s="1"/>
      <c r="F105" s="5">
        <f t="shared" si="45"/>
        <v>-9.2976172756094773E-3</v>
      </c>
      <c r="G105" s="1"/>
      <c r="H105" s="1">
        <f>SUM(OSRRefH22_10x_0)</f>
        <v>45275</v>
      </c>
      <c r="I105" s="1"/>
      <c r="J105" s="5">
        <f t="shared" si="46"/>
        <v>2.1012069351199276E-2</v>
      </c>
      <c r="K105" s="1"/>
      <c r="L105" s="1">
        <f t="shared" si="47"/>
        <v>-68788.759999999995</v>
      </c>
      <c r="M105" s="1"/>
      <c r="N105" s="5">
        <f t="shared" si="48"/>
        <v>-1.5193541689674213</v>
      </c>
      <c r="O105" s="14"/>
      <c r="P105" s="1">
        <f>SUM(OSRRefP22_10x_0)</f>
        <v>-35526.87999999999</v>
      </c>
      <c r="Q105" s="1"/>
      <c r="R105" s="5">
        <f t="shared" si="49"/>
        <v>-4.5134735982411169E-3</v>
      </c>
      <c r="S105" s="1"/>
      <c r="T105" s="1">
        <f>SUM(OSRRefT22_10x_0)</f>
        <v>-1900</v>
      </c>
      <c r="U105" s="1"/>
      <c r="V105" s="5">
        <f t="shared" si="50"/>
        <v>-2.150717530306157E-4</v>
      </c>
      <c r="W105" s="1"/>
      <c r="X105" s="1">
        <f t="shared" si="51"/>
        <v>-33626.87999999999</v>
      </c>
      <c r="Y105" s="1"/>
      <c r="Z105" s="5">
        <f t="shared" si="52"/>
        <v>17.698357894736837</v>
      </c>
    </row>
    <row r="106" spans="1:26" s="24" customFormat="1" hidden="1" outlineLevel="2" x14ac:dyDescent="0.25">
      <c r="A106" s="27"/>
      <c r="B106" s="11" t="str">
        <f>CONCATENATE("          ", "6305", " - ", "FREIGHT OUT")</f>
        <v xml:space="preserve">          6305 - FREIGHT OUT</v>
      </c>
      <c r="C106" s="11"/>
      <c r="D106" s="7">
        <v>26190.81</v>
      </c>
      <c r="E106" s="2"/>
      <c r="F106" s="6">
        <f t="shared" si="45"/>
        <v>1.0356154333386302E-2</v>
      </c>
      <c r="G106" s="2"/>
      <c r="H106" s="7">
        <v>56865</v>
      </c>
      <c r="I106" s="2"/>
      <c r="J106" s="6">
        <f t="shared" si="46"/>
        <v>2.639097346562003E-2</v>
      </c>
      <c r="K106" s="2"/>
      <c r="L106" s="7">
        <f t="shared" si="47"/>
        <v>-30674.19</v>
      </c>
      <c r="M106" s="2"/>
      <c r="N106" s="6">
        <f t="shared" si="48"/>
        <v>-0.53942126088103404</v>
      </c>
      <c r="O106" s="11"/>
      <c r="P106" s="7">
        <v>54887.3</v>
      </c>
      <c r="Q106" s="2"/>
      <c r="R106" s="6">
        <f t="shared" si="49"/>
        <v>6.9730969741429519E-3</v>
      </c>
      <c r="S106" s="2"/>
      <c r="T106" s="7">
        <v>74960</v>
      </c>
      <c r="U106" s="2"/>
      <c r="V106" s="6">
        <f t="shared" si="50"/>
        <v>8.4851466353552379E-3</v>
      </c>
      <c r="W106" s="2"/>
      <c r="X106" s="7">
        <f t="shared" si="51"/>
        <v>-20072.699999999997</v>
      </c>
      <c r="Y106" s="2"/>
      <c r="Z106" s="6">
        <f t="shared" si="52"/>
        <v>-0.26777881536819631</v>
      </c>
    </row>
    <row r="107" spans="1:26" s="24" customFormat="1" hidden="1" outlineLevel="2" x14ac:dyDescent="0.25">
      <c r="A107" s="27"/>
      <c r="B107" s="11" t="str">
        <f>CONCATENATE("          ", "6307", " - ", "POSTAGE")</f>
        <v xml:space="preserve">          6307 - POSTAGE</v>
      </c>
      <c r="C107" s="11"/>
      <c r="D107" s="7">
        <v>-49704.57</v>
      </c>
      <c r="E107" s="2"/>
      <c r="F107" s="6">
        <f t="shared" si="45"/>
        <v>-1.9653771608995781E-2</v>
      </c>
      <c r="G107" s="2"/>
      <c r="H107" s="7">
        <v>-11590</v>
      </c>
      <c r="I107" s="2"/>
      <c r="J107" s="6">
        <f t="shared" si="46"/>
        <v>-5.3789041144207536E-3</v>
      </c>
      <c r="K107" s="2"/>
      <c r="L107" s="7">
        <f t="shared" si="47"/>
        <v>-38114.57</v>
      </c>
      <c r="M107" s="2"/>
      <c r="N107" s="6">
        <f t="shared" si="48"/>
        <v>3.2885737704918032</v>
      </c>
      <c r="O107" s="11"/>
      <c r="P107" s="7">
        <v>-90414.18</v>
      </c>
      <c r="Q107" s="2"/>
      <c r="R107" s="6">
        <f t="shared" si="49"/>
        <v>-1.1486570572384069E-2</v>
      </c>
      <c r="S107" s="2"/>
      <c r="T107" s="7">
        <v>-76860</v>
      </c>
      <c r="U107" s="2"/>
      <c r="V107" s="6">
        <f t="shared" si="50"/>
        <v>-8.7002183883858539E-3</v>
      </c>
      <c r="W107" s="2"/>
      <c r="X107" s="7">
        <f t="shared" si="51"/>
        <v>-13554.179999999993</v>
      </c>
      <c r="Y107" s="2"/>
      <c r="Z107" s="6">
        <f t="shared" si="52"/>
        <v>0.1763489461358313</v>
      </c>
    </row>
    <row r="108" spans="1:26" s="28" customFormat="1" outlineLevel="1" collapsed="1" x14ac:dyDescent="0.25">
      <c r="A108" s="29"/>
      <c r="B108" s="14" t="str">
        <f>CONCATENATE("     ","General                                           ")</f>
        <v xml:space="preserve">     General                                           </v>
      </c>
      <c r="C108" s="14"/>
      <c r="D108" s="1">
        <f>SUM(OSRRefD22_11x_0)</f>
        <v>2393.16</v>
      </c>
      <c r="E108" s="1"/>
      <c r="F108" s="5">
        <f t="shared" ref="F108:F110" si="53">IF(D$12=0,0,D108/D$12)</f>
        <v>9.4628361262926808E-4</v>
      </c>
      <c r="G108" s="1"/>
      <c r="H108" s="1">
        <f>SUM(OSRRefH22_11x_0)</f>
        <v>810</v>
      </c>
      <c r="I108" s="1"/>
      <c r="J108" s="5">
        <f t="shared" ref="J108:J110" si="54">IF(H$12=0,0,H108/H$12)</f>
        <v>3.759199596791036E-4</v>
      </c>
      <c r="K108" s="1"/>
      <c r="L108" s="1">
        <f t="shared" ref="L108:L110" si="55">+D108-H108</f>
        <v>1583.1599999999999</v>
      </c>
      <c r="M108" s="1"/>
      <c r="N108" s="5">
        <f t="shared" ref="N108:N110" si="56">IF(H108=0,0,L108/H108)</f>
        <v>1.9545185185185183</v>
      </c>
      <c r="O108" s="14"/>
      <c r="P108" s="1">
        <f>SUM(OSRRefP22_11x_0)</f>
        <v>29069.07</v>
      </c>
      <c r="Q108" s="1"/>
      <c r="R108" s="5">
        <f t="shared" ref="R108:R110" si="57">IF(P$12=0,0,P108/P$12)</f>
        <v>3.6930481925354251E-3</v>
      </c>
      <c r="S108" s="1"/>
      <c r="T108" s="1">
        <f>SUM(OSRRefT22_11x_0)</f>
        <v>11975</v>
      </c>
      <c r="U108" s="1"/>
      <c r="V108" s="5">
        <f t="shared" ref="V108:V110" si="58">IF(T$12=0,0,T108/T$12)</f>
        <v>1.3555180223903279E-3</v>
      </c>
      <c r="W108" s="1"/>
      <c r="X108" s="1">
        <f t="shared" ref="X108:X110" si="59">+P108-T108</f>
        <v>17094.07</v>
      </c>
      <c r="Y108" s="1"/>
      <c r="Z108" s="5">
        <f t="shared" ref="Z108:Z110" si="60">IF(T108=0,0,X108/T108)</f>
        <v>1.4274797494780793</v>
      </c>
    </row>
    <row r="109" spans="1:26" s="24" customFormat="1" hidden="1" outlineLevel="2" x14ac:dyDescent="0.25">
      <c r="A109" s="27"/>
      <c r="B109" s="11" t="str">
        <f>CONCATENATE("          ", "6276", " - ", "PROPERTY TAX")</f>
        <v xml:space="preserve">          6276 - PROPERTY TAX</v>
      </c>
      <c r="C109" s="11"/>
      <c r="D109" s="7"/>
      <c r="E109" s="2"/>
      <c r="F109" s="6">
        <f t="shared" si="53"/>
        <v>0</v>
      </c>
      <c r="G109" s="2"/>
      <c r="H109" s="7"/>
      <c r="I109" s="2"/>
      <c r="J109" s="6">
        <f t="shared" si="54"/>
        <v>0</v>
      </c>
      <c r="K109" s="2"/>
      <c r="L109" s="7">
        <f t="shared" si="55"/>
        <v>0</v>
      </c>
      <c r="M109" s="2"/>
      <c r="N109" s="6">
        <f t="shared" si="56"/>
        <v>0</v>
      </c>
      <c r="O109" s="11"/>
      <c r="P109" s="7"/>
      <c r="Q109" s="2"/>
      <c r="R109" s="6">
        <f t="shared" si="57"/>
        <v>0</v>
      </c>
      <c r="S109" s="2"/>
      <c r="T109" s="7">
        <v>125</v>
      </c>
      <c r="U109" s="2"/>
      <c r="V109" s="6">
        <f t="shared" si="58"/>
        <v>1.4149457436224717E-5</v>
      </c>
      <c r="W109" s="2"/>
      <c r="X109" s="7">
        <f t="shared" si="59"/>
        <v>-125</v>
      </c>
      <c r="Y109" s="2"/>
      <c r="Z109" s="6">
        <f t="shared" si="60"/>
        <v>-1</v>
      </c>
    </row>
    <row r="110" spans="1:26" s="24" customFormat="1" hidden="1" outlineLevel="2" x14ac:dyDescent="0.25">
      <c r="A110" s="27"/>
      <c r="B110" s="11" t="str">
        <f>CONCATENATE("          ", "6279", " - ", "GENERAL EXPENSE")</f>
        <v xml:space="preserve">          6279 - GENERAL EXPENSE</v>
      </c>
      <c r="C110" s="11"/>
      <c r="D110" s="7">
        <v>2393.16</v>
      </c>
      <c r="E110" s="2"/>
      <c r="F110" s="6">
        <f t="shared" si="53"/>
        <v>9.4628361262926808E-4</v>
      </c>
      <c r="G110" s="2"/>
      <c r="H110" s="7">
        <v>810</v>
      </c>
      <c r="I110" s="2"/>
      <c r="J110" s="6">
        <f t="shared" si="54"/>
        <v>3.759199596791036E-4</v>
      </c>
      <c r="K110" s="2"/>
      <c r="L110" s="7">
        <f t="shared" si="55"/>
        <v>1583.1599999999999</v>
      </c>
      <c r="M110" s="2"/>
      <c r="N110" s="6">
        <f t="shared" si="56"/>
        <v>1.9545185185185183</v>
      </c>
      <c r="O110" s="11"/>
      <c r="P110" s="7">
        <v>29069.07</v>
      </c>
      <c r="Q110" s="2"/>
      <c r="R110" s="6">
        <f t="shared" si="57"/>
        <v>3.6930481925354251E-3</v>
      </c>
      <c r="S110" s="2"/>
      <c r="T110" s="7">
        <v>11850</v>
      </c>
      <c r="U110" s="2"/>
      <c r="V110" s="6">
        <f t="shared" si="58"/>
        <v>1.3413685649541031E-3</v>
      </c>
      <c r="W110" s="2"/>
      <c r="X110" s="7">
        <f t="shared" si="59"/>
        <v>17219.07</v>
      </c>
      <c r="Y110" s="2"/>
      <c r="Z110" s="6">
        <f t="shared" si="60"/>
        <v>1.4530860759493671</v>
      </c>
    </row>
    <row r="111" spans="1:26" s="28" customFormat="1" outlineLevel="1" collapsed="1" x14ac:dyDescent="0.25">
      <c r="A111" s="29"/>
      <c r="B111" s="14" t="str">
        <f>CONCATENATE("     ","Insurance                                         ")</f>
        <v xml:space="preserve">     Insurance                                         </v>
      </c>
      <c r="C111" s="14"/>
      <c r="D111" s="1">
        <f>SUM(OSRRefD22_12x_0)</f>
        <v>18509.43</v>
      </c>
      <c r="E111" s="1"/>
      <c r="F111" s="5">
        <f t="shared" ref="F111:F127" si="61">IF(D$12=0,0,D111/D$12)</f>
        <v>7.3188463320916922E-3</v>
      </c>
      <c r="G111" s="1"/>
      <c r="H111" s="1">
        <f>SUM(OSRRefH22_12x_0)</f>
        <v>11425</v>
      </c>
      <c r="I111" s="1"/>
      <c r="J111" s="5">
        <f t="shared" ref="J111:J127" si="62">IF(H$12=0,0,H111/H$12)</f>
        <v>5.3023278263379736E-3</v>
      </c>
      <c r="K111" s="1"/>
      <c r="L111" s="1">
        <f t="shared" ref="L111:L127" si="63">+D111-H111</f>
        <v>7084.43</v>
      </c>
      <c r="M111" s="1"/>
      <c r="N111" s="5">
        <f t="shared" ref="N111:N127" si="64">IF(H111=0,0,L111/H111)</f>
        <v>0.62008140043763682</v>
      </c>
      <c r="O111" s="14"/>
      <c r="P111" s="1">
        <f>SUM(OSRRefP22_12x_0)</f>
        <v>53388.73</v>
      </c>
      <c r="Q111" s="1"/>
      <c r="R111" s="5">
        <f t="shared" ref="R111:R127" si="65">IF(P$12=0,0,P111/P$12)</f>
        <v>6.7827127881374205E-3</v>
      </c>
      <c r="S111" s="1"/>
      <c r="T111" s="1">
        <f>SUM(OSRRefT22_12x_0)</f>
        <v>45700</v>
      </c>
      <c r="U111" s="1"/>
      <c r="V111" s="5">
        <f t="shared" ref="V111:V127" si="66">IF(T$12=0,0,T111/T$12)</f>
        <v>5.1730416386837567E-3</v>
      </c>
      <c r="W111" s="1"/>
      <c r="X111" s="1">
        <f t="shared" ref="X111:X127" si="67">+P111-T111</f>
        <v>7688.7300000000032</v>
      </c>
      <c r="Y111" s="1"/>
      <c r="Z111" s="5">
        <f t="shared" ref="Z111:Z127" si="68">IF(T111=0,0,X111/T111)</f>
        <v>0.16824354485776813</v>
      </c>
    </row>
    <row r="112" spans="1:26" s="24" customFormat="1" hidden="1" outlineLevel="2" x14ac:dyDescent="0.25">
      <c r="A112" s="27"/>
      <c r="B112" s="11" t="str">
        <f>CONCATENATE("          ", "6314", " - ", "LIABILITY INSURANCE")</f>
        <v xml:space="preserve">          6314 - LIABILITY INSURANCE</v>
      </c>
      <c r="C112" s="11"/>
      <c r="D112" s="7">
        <v>18509.43</v>
      </c>
      <c r="E112" s="2"/>
      <c r="F112" s="6">
        <f t="shared" si="61"/>
        <v>7.3188463320916922E-3</v>
      </c>
      <c r="G112" s="2"/>
      <c r="H112" s="7">
        <v>11425</v>
      </c>
      <c r="I112" s="2"/>
      <c r="J112" s="6">
        <f t="shared" si="62"/>
        <v>5.3023278263379736E-3</v>
      </c>
      <c r="K112" s="2"/>
      <c r="L112" s="7">
        <f t="shared" si="63"/>
        <v>7084.43</v>
      </c>
      <c r="M112" s="2"/>
      <c r="N112" s="6">
        <f t="shared" si="64"/>
        <v>0.62008140043763682</v>
      </c>
      <c r="O112" s="11"/>
      <c r="P112" s="7">
        <v>53388.73</v>
      </c>
      <c r="Q112" s="2"/>
      <c r="R112" s="6">
        <f t="shared" si="65"/>
        <v>6.7827127881374205E-3</v>
      </c>
      <c r="S112" s="2"/>
      <c r="T112" s="7">
        <v>45700</v>
      </c>
      <c r="U112" s="2"/>
      <c r="V112" s="6">
        <f t="shared" si="66"/>
        <v>5.1730416386837567E-3</v>
      </c>
      <c r="W112" s="2"/>
      <c r="X112" s="7">
        <f t="shared" si="67"/>
        <v>7688.7300000000032</v>
      </c>
      <c r="Y112" s="2"/>
      <c r="Z112" s="6">
        <f t="shared" si="68"/>
        <v>0.16824354485776813</v>
      </c>
    </row>
    <row r="113" spans="1:26" s="28" customFormat="1" outlineLevel="1" collapsed="1" x14ac:dyDescent="0.25">
      <c r="A113" s="29"/>
      <c r="B113" s="14" t="str">
        <f>CONCATENATE("     ","Interest                                          ")</f>
        <v xml:space="preserve">     Interest                                          </v>
      </c>
      <c r="C113" s="14"/>
      <c r="D113" s="1">
        <f>SUM(OSRRefD22_13x_0)</f>
        <v>10368</v>
      </c>
      <c r="E113" s="1"/>
      <c r="F113" s="5">
        <f t="shared" si="61"/>
        <v>4.0996291496348978E-3</v>
      </c>
      <c r="G113" s="1"/>
      <c r="H113" s="1">
        <f>SUM(OSRRefH22_13x_0)</f>
        <v>11158</v>
      </c>
      <c r="I113" s="1"/>
      <c r="J113" s="5">
        <f t="shared" si="62"/>
        <v>5.1784134692585649E-3</v>
      </c>
      <c r="K113" s="1"/>
      <c r="L113" s="1">
        <f t="shared" si="63"/>
        <v>-790</v>
      </c>
      <c r="M113" s="1"/>
      <c r="N113" s="5">
        <f t="shared" si="64"/>
        <v>-7.0801218856425888E-2</v>
      </c>
      <c r="O113" s="14"/>
      <c r="P113" s="1">
        <f>SUM(OSRRefP22_13x_0)</f>
        <v>43842</v>
      </c>
      <c r="Q113" s="1"/>
      <c r="R113" s="5">
        <f t="shared" si="65"/>
        <v>5.5698589207407775E-3</v>
      </c>
      <c r="S113" s="1"/>
      <c r="T113" s="1">
        <f>SUM(OSRRefT22_13x_0)</f>
        <v>44632</v>
      </c>
      <c r="U113" s="1"/>
      <c r="V113" s="5">
        <f t="shared" si="66"/>
        <v>5.0521486743486527E-3</v>
      </c>
      <c r="W113" s="1"/>
      <c r="X113" s="1">
        <f t="shared" si="67"/>
        <v>-790</v>
      </c>
      <c r="Y113" s="1"/>
      <c r="Z113" s="5">
        <f t="shared" si="68"/>
        <v>-1.7700304714106472E-2</v>
      </c>
    </row>
    <row r="114" spans="1:26" s="24" customFormat="1" hidden="1" outlineLevel="2" x14ac:dyDescent="0.25">
      <c r="A114" s="27"/>
      <c r="B114" s="11" t="str">
        <f>CONCATENATE("          ", "6401", " - ", "INTEREST EXPENSE")</f>
        <v xml:space="preserve">          6401 - INTEREST EXPENSE</v>
      </c>
      <c r="C114" s="11"/>
      <c r="D114" s="7">
        <v>10368</v>
      </c>
      <c r="E114" s="2"/>
      <c r="F114" s="6">
        <f t="shared" si="61"/>
        <v>4.0996291496348978E-3</v>
      </c>
      <c r="G114" s="2"/>
      <c r="H114" s="7">
        <v>11158</v>
      </c>
      <c r="I114" s="2"/>
      <c r="J114" s="6">
        <f t="shared" si="62"/>
        <v>5.1784134692585649E-3</v>
      </c>
      <c r="K114" s="2"/>
      <c r="L114" s="7">
        <f t="shared" si="63"/>
        <v>-790</v>
      </c>
      <c r="M114" s="2"/>
      <c r="N114" s="6">
        <f t="shared" si="64"/>
        <v>-7.0801218856425888E-2</v>
      </c>
      <c r="O114" s="11"/>
      <c r="P114" s="7">
        <v>43842</v>
      </c>
      <c r="Q114" s="2"/>
      <c r="R114" s="6">
        <f t="shared" si="65"/>
        <v>5.5698589207407775E-3</v>
      </c>
      <c r="S114" s="2"/>
      <c r="T114" s="7">
        <v>44632</v>
      </c>
      <c r="U114" s="2"/>
      <c r="V114" s="6">
        <f t="shared" si="66"/>
        <v>5.0521486743486527E-3</v>
      </c>
      <c r="W114" s="2"/>
      <c r="X114" s="7">
        <f t="shared" si="67"/>
        <v>-790</v>
      </c>
      <c r="Y114" s="2"/>
      <c r="Z114" s="6">
        <f t="shared" si="68"/>
        <v>-1.7700304714106472E-2</v>
      </c>
    </row>
    <row r="115" spans="1:26" s="28" customFormat="1" outlineLevel="1" collapsed="1" x14ac:dyDescent="0.25">
      <c r="A115" s="29"/>
      <c r="B115" s="14" t="str">
        <f>CONCATENATE("     ","Inventory Adjustment                              ")</f>
        <v xml:space="preserve">     Inventory Adjustment                              </v>
      </c>
      <c r="C115" s="14"/>
      <c r="D115" s="1">
        <f>SUM(OSRRefD22_14x_0)</f>
        <v>5690</v>
      </c>
      <c r="E115" s="1"/>
      <c r="F115" s="5">
        <f t="shared" si="61"/>
        <v>2.2498929264489361E-3</v>
      </c>
      <c r="G115" s="1"/>
      <c r="H115" s="1">
        <f>SUM(OSRRefH22_14x_0)</f>
        <v>5690</v>
      </c>
      <c r="I115" s="1"/>
      <c r="J115" s="5">
        <f t="shared" si="62"/>
        <v>2.6407216920667892E-3</v>
      </c>
      <c r="K115" s="1"/>
      <c r="L115" s="1">
        <f t="shared" si="63"/>
        <v>0</v>
      </c>
      <c r="M115" s="1"/>
      <c r="N115" s="5">
        <f t="shared" si="64"/>
        <v>0</v>
      </c>
      <c r="O115" s="14"/>
      <c r="P115" s="1">
        <f>SUM(OSRRefP22_14x_0)</f>
        <v>25070</v>
      </c>
      <c r="Q115" s="1"/>
      <c r="R115" s="5">
        <f t="shared" si="65"/>
        <v>3.1849907199254434E-3</v>
      </c>
      <c r="S115" s="1"/>
      <c r="T115" s="1">
        <f>SUM(OSRRefT22_14x_0)</f>
        <v>25780</v>
      </c>
      <c r="U115" s="1"/>
      <c r="V115" s="5">
        <f t="shared" si="66"/>
        <v>2.9181841016469854E-3</v>
      </c>
      <c r="W115" s="1"/>
      <c r="X115" s="1">
        <f t="shared" si="67"/>
        <v>-710</v>
      </c>
      <c r="Y115" s="1"/>
      <c r="Z115" s="5">
        <f t="shared" si="68"/>
        <v>-2.7540729247478666E-2</v>
      </c>
    </row>
    <row r="116" spans="1:26" s="24" customFormat="1" hidden="1" outlineLevel="2" x14ac:dyDescent="0.25">
      <c r="A116" s="27"/>
      <c r="B116" s="11" t="str">
        <f>CONCATENATE("          ", "6408", " - ", "INVENTORY ADJUSTMENT")</f>
        <v xml:space="preserve">          6408 - INVENTORY ADJUSTMENT</v>
      </c>
      <c r="C116" s="11"/>
      <c r="D116" s="7">
        <v>5690</v>
      </c>
      <c r="E116" s="2"/>
      <c r="F116" s="6">
        <f t="shared" si="61"/>
        <v>2.2498929264489361E-3</v>
      </c>
      <c r="G116" s="2"/>
      <c r="H116" s="7">
        <v>5690</v>
      </c>
      <c r="I116" s="2"/>
      <c r="J116" s="6">
        <f t="shared" si="62"/>
        <v>2.6407216920667892E-3</v>
      </c>
      <c r="K116" s="2"/>
      <c r="L116" s="7">
        <f t="shared" si="63"/>
        <v>0</v>
      </c>
      <c r="M116" s="2"/>
      <c r="N116" s="6">
        <f t="shared" si="64"/>
        <v>0</v>
      </c>
      <c r="O116" s="11"/>
      <c r="P116" s="7">
        <v>25070</v>
      </c>
      <c r="Q116" s="2"/>
      <c r="R116" s="6">
        <f t="shared" si="65"/>
        <v>3.1849907199254434E-3</v>
      </c>
      <c r="S116" s="2"/>
      <c r="T116" s="7">
        <v>25780</v>
      </c>
      <c r="U116" s="2"/>
      <c r="V116" s="6">
        <f t="shared" si="66"/>
        <v>2.9181841016469854E-3</v>
      </c>
      <c r="W116" s="2"/>
      <c r="X116" s="7">
        <f t="shared" si="67"/>
        <v>-710</v>
      </c>
      <c r="Y116" s="2"/>
      <c r="Z116" s="6">
        <f t="shared" si="68"/>
        <v>-2.7540729247478666E-2</v>
      </c>
    </row>
    <row r="117" spans="1:26" s="28" customFormat="1" outlineLevel="1" collapsed="1" x14ac:dyDescent="0.25">
      <c r="A117" s="29"/>
      <c r="B117" s="14" t="str">
        <f>CONCATENATE("     ","Professional Services                             ")</f>
        <v xml:space="preserve">     Professional Services                             </v>
      </c>
      <c r="C117" s="14"/>
      <c r="D117" s="1">
        <f>SUM(OSRRefD22_15x_0)</f>
        <v>8186.53</v>
      </c>
      <c r="E117" s="1"/>
      <c r="F117" s="5">
        <f t="shared" si="61"/>
        <v>3.2370502529282964E-3</v>
      </c>
      <c r="G117" s="1"/>
      <c r="H117" s="1">
        <f>SUM(OSRRefH22_15x_0)</f>
        <v>250</v>
      </c>
      <c r="I117" s="1"/>
      <c r="J117" s="5">
        <f t="shared" si="62"/>
        <v>1.1602467891330357E-4</v>
      </c>
      <c r="K117" s="1"/>
      <c r="L117" s="1">
        <f t="shared" si="63"/>
        <v>7936.53</v>
      </c>
      <c r="M117" s="1"/>
      <c r="N117" s="5">
        <f t="shared" si="64"/>
        <v>31.746119999999998</v>
      </c>
      <c r="O117" s="14"/>
      <c r="P117" s="1">
        <f>SUM(OSRRefP22_15x_0)</f>
        <v>8186.53</v>
      </c>
      <c r="Q117" s="1"/>
      <c r="R117" s="5">
        <f t="shared" si="65"/>
        <v>1.0400487466450435E-3</v>
      </c>
      <c r="S117" s="1"/>
      <c r="T117" s="1">
        <f>SUM(OSRRefT22_15x_0)</f>
        <v>1250</v>
      </c>
      <c r="U117" s="1"/>
      <c r="V117" s="5">
        <f t="shared" si="66"/>
        <v>1.4149457436224717E-4</v>
      </c>
      <c r="W117" s="1"/>
      <c r="X117" s="1">
        <f t="shared" si="67"/>
        <v>6936.53</v>
      </c>
      <c r="Y117" s="1"/>
      <c r="Z117" s="5">
        <f t="shared" si="68"/>
        <v>5.5492239999999997</v>
      </c>
    </row>
    <row r="118" spans="1:26" s="24" customFormat="1" hidden="1" outlineLevel="2" x14ac:dyDescent="0.25">
      <c r="A118" s="27"/>
      <c r="B118" s="11" t="str">
        <f>CONCATENATE("          ", "6336", " - ", "PROFESSIONAL SERVICES")</f>
        <v xml:space="preserve">          6336 - PROFESSIONAL SERVICES</v>
      </c>
      <c r="C118" s="11"/>
      <c r="D118" s="7">
        <v>8186.53</v>
      </c>
      <c r="E118" s="2"/>
      <c r="F118" s="6">
        <f t="shared" si="61"/>
        <v>3.2370502529282964E-3</v>
      </c>
      <c r="G118" s="2"/>
      <c r="H118" s="7">
        <v>250</v>
      </c>
      <c r="I118" s="2"/>
      <c r="J118" s="6">
        <f t="shared" si="62"/>
        <v>1.1602467891330357E-4</v>
      </c>
      <c r="K118" s="2"/>
      <c r="L118" s="7">
        <f t="shared" si="63"/>
        <v>7936.53</v>
      </c>
      <c r="M118" s="2"/>
      <c r="N118" s="6">
        <f t="shared" si="64"/>
        <v>31.746119999999998</v>
      </c>
      <c r="O118" s="11"/>
      <c r="P118" s="7">
        <v>8186.53</v>
      </c>
      <c r="Q118" s="2"/>
      <c r="R118" s="6">
        <f t="shared" si="65"/>
        <v>1.0400487466450435E-3</v>
      </c>
      <c r="S118" s="2"/>
      <c r="T118" s="7">
        <v>1250</v>
      </c>
      <c r="U118" s="2"/>
      <c r="V118" s="6">
        <f t="shared" si="66"/>
        <v>1.4149457436224717E-4</v>
      </c>
      <c r="W118" s="2"/>
      <c r="X118" s="7">
        <f t="shared" si="67"/>
        <v>6936.53</v>
      </c>
      <c r="Y118" s="2"/>
      <c r="Z118" s="6">
        <f t="shared" si="68"/>
        <v>5.5492239999999997</v>
      </c>
    </row>
    <row r="119" spans="1:26" s="28" customFormat="1" outlineLevel="1" collapsed="1" x14ac:dyDescent="0.25">
      <c r="A119" s="29"/>
      <c r="B119" s="14" t="str">
        <f>CONCATENATE("     ","R/H Commissions                                   ")</f>
        <v xml:space="preserve">     R/H Commissions                                   </v>
      </c>
      <c r="C119" s="14"/>
      <c r="D119" s="1">
        <f>SUM(OSRRefD22_16x_0)</f>
        <v>127967.99</v>
      </c>
      <c r="E119" s="1"/>
      <c r="F119" s="5">
        <f t="shared" si="61"/>
        <v>5.0600048420542741E-2</v>
      </c>
      <c r="G119" s="1"/>
      <c r="H119" s="1">
        <f>SUM(OSRRefH22_16x_0)</f>
        <v>112896</v>
      </c>
      <c r="I119" s="1"/>
      <c r="J119" s="5">
        <f t="shared" si="62"/>
        <v>5.2394888602385281E-2</v>
      </c>
      <c r="K119" s="1"/>
      <c r="L119" s="1">
        <f t="shared" si="63"/>
        <v>15071.990000000005</v>
      </c>
      <c r="M119" s="1"/>
      <c r="N119" s="5">
        <f t="shared" si="64"/>
        <v>0.13350331278344676</v>
      </c>
      <c r="O119" s="14"/>
      <c r="P119" s="1">
        <f>SUM(OSRRefP22_16x_0)</f>
        <v>270770.98</v>
      </c>
      <c r="Q119" s="1"/>
      <c r="R119" s="5">
        <f t="shared" si="65"/>
        <v>3.4399802892904577E-2</v>
      </c>
      <c r="S119" s="1"/>
      <c r="T119" s="1">
        <f>SUM(OSRRefT22_16x_0)</f>
        <v>225792</v>
      </c>
      <c r="U119" s="1"/>
      <c r="V119" s="5">
        <f t="shared" si="66"/>
        <v>2.5558674347520408E-2</v>
      </c>
      <c r="W119" s="1"/>
      <c r="X119" s="1">
        <f t="shared" si="67"/>
        <v>44978.979999999981</v>
      </c>
      <c r="Y119" s="1"/>
      <c r="Z119" s="5">
        <f t="shared" si="68"/>
        <v>0.19920537485827655</v>
      </c>
    </row>
    <row r="120" spans="1:26" s="24" customFormat="1" hidden="1" outlineLevel="2" x14ac:dyDescent="0.25">
      <c r="A120" s="27"/>
      <c r="B120" s="11" t="str">
        <f>CONCATENATE("          ", "6387", " - ", "COMMISSION DUE HOUSING")</f>
        <v xml:space="preserve">          6387 - COMMISSION DUE HOUSING</v>
      </c>
      <c r="C120" s="11"/>
      <c r="D120" s="7">
        <v>127967.99</v>
      </c>
      <c r="E120" s="2"/>
      <c r="F120" s="6">
        <f t="shared" si="61"/>
        <v>5.0600048420542741E-2</v>
      </c>
      <c r="G120" s="2"/>
      <c r="H120" s="7">
        <v>112896</v>
      </c>
      <c r="I120" s="2"/>
      <c r="J120" s="6">
        <f t="shared" si="62"/>
        <v>5.2394888602385281E-2</v>
      </c>
      <c r="K120" s="2"/>
      <c r="L120" s="7">
        <f t="shared" si="63"/>
        <v>15071.990000000005</v>
      </c>
      <c r="M120" s="2"/>
      <c r="N120" s="6">
        <f t="shared" si="64"/>
        <v>0.13350331278344676</v>
      </c>
      <c r="O120" s="11"/>
      <c r="P120" s="7">
        <v>270770.98</v>
      </c>
      <c r="Q120" s="2"/>
      <c r="R120" s="6">
        <f t="shared" si="65"/>
        <v>3.4399802892904577E-2</v>
      </c>
      <c r="S120" s="2"/>
      <c r="T120" s="7">
        <v>225792</v>
      </c>
      <c r="U120" s="2"/>
      <c r="V120" s="6">
        <f t="shared" si="66"/>
        <v>2.5558674347520408E-2</v>
      </c>
      <c r="W120" s="2"/>
      <c r="X120" s="7">
        <f t="shared" si="67"/>
        <v>44978.979999999981</v>
      </c>
      <c r="Y120" s="2"/>
      <c r="Z120" s="6">
        <f t="shared" si="68"/>
        <v>0.19920537485827655</v>
      </c>
    </row>
    <row r="121" spans="1:26" s="28" customFormat="1" outlineLevel="1" collapsed="1" x14ac:dyDescent="0.25">
      <c r="A121" s="29"/>
      <c r="B121" s="14" t="str">
        <f>CONCATENATE("     ","Rent                                              ")</f>
        <v xml:space="preserve">     Rent                                              </v>
      </c>
      <c r="C121" s="14"/>
      <c r="D121" s="1">
        <f>SUM(OSRRefD22_17x_0)</f>
        <v>8750</v>
      </c>
      <c r="E121" s="1"/>
      <c r="F121" s="5">
        <f t="shared" si="61"/>
        <v>3.45985291852868E-3</v>
      </c>
      <c r="G121" s="1"/>
      <c r="H121" s="1">
        <f>SUM(OSRRefH22_17x_0)</f>
        <v>8750</v>
      </c>
      <c r="I121" s="1"/>
      <c r="J121" s="5">
        <f t="shared" si="62"/>
        <v>4.0608637619656248E-3</v>
      </c>
      <c r="K121" s="1"/>
      <c r="L121" s="1">
        <f t="shared" si="63"/>
        <v>0</v>
      </c>
      <c r="M121" s="1"/>
      <c r="N121" s="5">
        <f t="shared" si="64"/>
        <v>0</v>
      </c>
      <c r="O121" s="14"/>
      <c r="P121" s="1">
        <f>SUM(OSRRefP22_17x_0)</f>
        <v>35000</v>
      </c>
      <c r="Q121" s="1"/>
      <c r="R121" s="5">
        <f t="shared" si="65"/>
        <v>4.4465367051212817E-3</v>
      </c>
      <c r="S121" s="1"/>
      <c r="T121" s="1">
        <f>SUM(OSRRefT22_17x_0)</f>
        <v>35000</v>
      </c>
      <c r="U121" s="1"/>
      <c r="V121" s="5">
        <f t="shared" si="66"/>
        <v>3.9618480821429205E-3</v>
      </c>
      <c r="W121" s="1"/>
      <c r="X121" s="1">
        <f t="shared" si="67"/>
        <v>0</v>
      </c>
      <c r="Y121" s="1"/>
      <c r="Z121" s="5">
        <f t="shared" si="68"/>
        <v>0</v>
      </c>
    </row>
    <row r="122" spans="1:26" s="24" customFormat="1" hidden="1" outlineLevel="2" x14ac:dyDescent="0.25">
      <c r="A122" s="27"/>
      <c r="B122" s="11" t="str">
        <f>CONCATENATE("          ", "6273", " - ", "RENT")</f>
        <v xml:space="preserve">          6273 - RENT</v>
      </c>
      <c r="C122" s="11"/>
      <c r="D122" s="7">
        <v>8750</v>
      </c>
      <c r="E122" s="2"/>
      <c r="F122" s="6">
        <f t="shared" si="61"/>
        <v>3.45985291852868E-3</v>
      </c>
      <c r="G122" s="2"/>
      <c r="H122" s="7">
        <v>8750</v>
      </c>
      <c r="I122" s="2"/>
      <c r="J122" s="6">
        <f t="shared" si="62"/>
        <v>4.0608637619656248E-3</v>
      </c>
      <c r="K122" s="2"/>
      <c r="L122" s="7">
        <f t="shared" si="63"/>
        <v>0</v>
      </c>
      <c r="M122" s="2"/>
      <c r="N122" s="6">
        <f t="shared" si="64"/>
        <v>0</v>
      </c>
      <c r="O122" s="11"/>
      <c r="P122" s="7">
        <v>35000</v>
      </c>
      <c r="Q122" s="2"/>
      <c r="R122" s="6">
        <f t="shared" si="65"/>
        <v>4.4465367051212817E-3</v>
      </c>
      <c r="S122" s="2"/>
      <c r="T122" s="7">
        <v>35000</v>
      </c>
      <c r="U122" s="2"/>
      <c r="V122" s="6">
        <f t="shared" si="66"/>
        <v>3.9618480821429205E-3</v>
      </c>
      <c r="W122" s="2"/>
      <c r="X122" s="7">
        <f t="shared" si="67"/>
        <v>0</v>
      </c>
      <c r="Y122" s="2"/>
      <c r="Z122" s="6">
        <f t="shared" si="68"/>
        <v>0</v>
      </c>
    </row>
    <row r="123" spans="1:26" s="28" customFormat="1" outlineLevel="1" collapsed="1" x14ac:dyDescent="0.25">
      <c r="A123" s="29"/>
      <c r="B123" s="14" t="str">
        <f>CONCATENATE("     ","Repair and Maintenance                            ")</f>
        <v xml:space="preserve">     Repair and Maintenance                            </v>
      </c>
      <c r="C123" s="14"/>
      <c r="D123" s="1">
        <f>SUM(OSRRefD22_18x_0)</f>
        <v>27285.43</v>
      </c>
      <c r="E123" s="1"/>
      <c r="F123" s="5">
        <f t="shared" si="61"/>
        <v>1.078897995643543E-2</v>
      </c>
      <c r="G123" s="1"/>
      <c r="H123" s="1">
        <f>SUM(OSRRefH22_18x_0)</f>
        <v>20775</v>
      </c>
      <c r="I123" s="1"/>
      <c r="J123" s="5">
        <f t="shared" si="62"/>
        <v>9.6416508176955275E-3</v>
      </c>
      <c r="K123" s="1"/>
      <c r="L123" s="1">
        <f t="shared" si="63"/>
        <v>6510.43</v>
      </c>
      <c r="M123" s="1"/>
      <c r="N123" s="5">
        <f t="shared" si="64"/>
        <v>0.31337809867629363</v>
      </c>
      <c r="O123" s="14"/>
      <c r="P123" s="1">
        <f>SUM(OSRRefP22_18x_0)</f>
        <v>268771.48</v>
      </c>
      <c r="Q123" s="1"/>
      <c r="R123" s="5">
        <f t="shared" si="65"/>
        <v>3.4145778603136293E-2</v>
      </c>
      <c r="S123" s="1"/>
      <c r="T123" s="1">
        <f>SUM(OSRRefT22_18x_0)</f>
        <v>263701</v>
      </c>
      <c r="U123" s="1"/>
      <c r="V123" s="5">
        <f t="shared" si="66"/>
        <v>2.984980860311915E-2</v>
      </c>
      <c r="W123" s="1"/>
      <c r="X123" s="1">
        <f t="shared" si="67"/>
        <v>5070.4799999999814</v>
      </c>
      <c r="Y123" s="1"/>
      <c r="Z123" s="5">
        <f t="shared" si="68"/>
        <v>1.9228140962681148E-2</v>
      </c>
    </row>
    <row r="124" spans="1:26" s="24" customFormat="1" hidden="1" outlineLevel="2" x14ac:dyDescent="0.25">
      <c r="A124" s="27"/>
      <c r="B124" s="11" t="str">
        <f>CONCATENATE("          ", "6371", " - ", "COMPUTER SOFTWARE MAINTENANCE")</f>
        <v xml:space="preserve">          6371 - COMPUTER SOFTWARE MAINTENANCE</v>
      </c>
      <c r="C124" s="11"/>
      <c r="D124" s="7">
        <v>6547.18</v>
      </c>
      <c r="E124" s="2"/>
      <c r="F124" s="6">
        <f t="shared" si="61"/>
        <v>2.5888319807008692E-3</v>
      </c>
      <c r="G124" s="2"/>
      <c r="H124" s="7">
        <v>4600</v>
      </c>
      <c r="I124" s="2"/>
      <c r="J124" s="6">
        <f t="shared" si="62"/>
        <v>2.134854092004786E-3</v>
      </c>
      <c r="K124" s="2"/>
      <c r="L124" s="7">
        <f t="shared" si="63"/>
        <v>1947.1800000000003</v>
      </c>
      <c r="M124" s="2"/>
      <c r="N124" s="6">
        <f t="shared" si="64"/>
        <v>0.42330000000000007</v>
      </c>
      <c r="O124" s="11"/>
      <c r="P124" s="7">
        <v>81848.399999999994</v>
      </c>
      <c r="Q124" s="2"/>
      <c r="R124" s="6">
        <f t="shared" si="65"/>
        <v>1.0398340424441391E-2</v>
      </c>
      <c r="S124" s="2"/>
      <c r="T124" s="7">
        <v>184723</v>
      </c>
      <c r="U124" s="2"/>
      <c r="V124" s="6">
        <f t="shared" si="66"/>
        <v>2.0909841807933906E-2</v>
      </c>
      <c r="W124" s="2"/>
      <c r="X124" s="7">
        <f t="shared" si="67"/>
        <v>-102874.6</v>
      </c>
      <c r="Y124" s="2"/>
      <c r="Z124" s="6">
        <f t="shared" si="68"/>
        <v>-0.55691278292362079</v>
      </c>
    </row>
    <row r="125" spans="1:26" s="24" customFormat="1" hidden="1" outlineLevel="2" x14ac:dyDescent="0.25">
      <c r="A125" s="27"/>
      <c r="B125" s="11" t="str">
        <f>CONCATENATE("          ", "6372", " - ", "COMPUTER HARDWARE MAINTENANCE")</f>
        <v xml:space="preserve">          6372 - COMPUTER HARDWARE MAINTENANCE</v>
      </c>
      <c r="C125" s="11"/>
      <c r="D125" s="7"/>
      <c r="E125" s="2"/>
      <c r="F125" s="6">
        <f t="shared" si="61"/>
        <v>0</v>
      </c>
      <c r="G125" s="2"/>
      <c r="H125" s="7">
        <v>6950</v>
      </c>
      <c r="I125" s="2"/>
      <c r="J125" s="6">
        <f t="shared" si="62"/>
        <v>3.2254860737898393E-3</v>
      </c>
      <c r="K125" s="2"/>
      <c r="L125" s="7">
        <f t="shared" si="63"/>
        <v>-6950</v>
      </c>
      <c r="M125" s="2"/>
      <c r="N125" s="6">
        <f t="shared" si="64"/>
        <v>-1</v>
      </c>
      <c r="O125" s="11"/>
      <c r="P125" s="7"/>
      <c r="Q125" s="2"/>
      <c r="R125" s="6">
        <f t="shared" si="65"/>
        <v>0</v>
      </c>
      <c r="S125" s="2"/>
      <c r="T125" s="7">
        <v>24420</v>
      </c>
      <c r="U125" s="2"/>
      <c r="V125" s="6">
        <f t="shared" si="66"/>
        <v>2.7642380047408605E-3</v>
      </c>
      <c r="W125" s="2"/>
      <c r="X125" s="7">
        <f t="shared" si="67"/>
        <v>-24420</v>
      </c>
      <c r="Y125" s="2"/>
      <c r="Z125" s="6">
        <f t="shared" si="68"/>
        <v>-1</v>
      </c>
    </row>
    <row r="126" spans="1:26" s="24" customFormat="1" hidden="1" outlineLevel="2" x14ac:dyDescent="0.25">
      <c r="A126" s="27"/>
      <c r="B126" s="11" t="str">
        <f>CONCATENATE("          ", "6373", " - ", "MAINTENANCE CONTRACTS")</f>
        <v xml:space="preserve">          6373 - MAINTENANCE CONTRACTS</v>
      </c>
      <c r="C126" s="11"/>
      <c r="D126" s="7">
        <v>6946.49</v>
      </c>
      <c r="E126" s="2"/>
      <c r="F126" s="6">
        <f t="shared" si="61"/>
        <v>2.7467238514320333E-3</v>
      </c>
      <c r="G126" s="2"/>
      <c r="H126" s="7">
        <v>6035</v>
      </c>
      <c r="I126" s="2"/>
      <c r="J126" s="6">
        <f t="shared" si="62"/>
        <v>2.8008357489671485E-3</v>
      </c>
      <c r="K126" s="2"/>
      <c r="L126" s="7">
        <f t="shared" si="63"/>
        <v>911.48999999999978</v>
      </c>
      <c r="M126" s="2"/>
      <c r="N126" s="6">
        <f t="shared" si="64"/>
        <v>0.15103396851698422</v>
      </c>
      <c r="O126" s="11"/>
      <c r="P126" s="7">
        <v>138394.79999999999</v>
      </c>
      <c r="Q126" s="2"/>
      <c r="R126" s="6">
        <f t="shared" si="65"/>
        <v>1.7582215942797675E-2</v>
      </c>
      <c r="S126" s="2"/>
      <c r="T126" s="7">
        <v>31978</v>
      </c>
      <c r="U126" s="2"/>
      <c r="V126" s="6">
        <f t="shared" si="66"/>
        <v>3.6197707991647518E-3</v>
      </c>
      <c r="W126" s="2"/>
      <c r="X126" s="7">
        <f t="shared" si="67"/>
        <v>106416.79999999999</v>
      </c>
      <c r="Y126" s="2"/>
      <c r="Z126" s="6">
        <f t="shared" si="68"/>
        <v>3.3278128713490522</v>
      </c>
    </row>
    <row r="127" spans="1:26" s="24" customFormat="1" hidden="1" outlineLevel="2" x14ac:dyDescent="0.25">
      <c r="A127" s="27"/>
      <c r="B127" s="11" t="str">
        <f>CONCATENATE("          ", "6375", " - ", "OUTSIDE REPAIRS &amp; MAINTENANCE")</f>
        <v xml:space="preserve">          6375 - OUTSIDE REPAIRS &amp; MAINTENANCE</v>
      </c>
      <c r="C127" s="11"/>
      <c r="D127" s="7">
        <v>13791.76</v>
      </c>
      <c r="E127" s="2"/>
      <c r="F127" s="6">
        <f t="shared" si="61"/>
        <v>5.4534241243025267E-3</v>
      </c>
      <c r="G127" s="2"/>
      <c r="H127" s="7">
        <v>3190</v>
      </c>
      <c r="I127" s="2"/>
      <c r="J127" s="6">
        <f t="shared" si="62"/>
        <v>1.4804749029337537E-3</v>
      </c>
      <c r="K127" s="2"/>
      <c r="L127" s="7">
        <f t="shared" si="63"/>
        <v>10601.76</v>
      </c>
      <c r="M127" s="2"/>
      <c r="N127" s="6">
        <f t="shared" si="64"/>
        <v>3.3234357366771161</v>
      </c>
      <c r="O127" s="11"/>
      <c r="P127" s="7">
        <v>48528.28</v>
      </c>
      <c r="Q127" s="2"/>
      <c r="R127" s="6">
        <f t="shared" si="65"/>
        <v>6.1652222358972277E-3</v>
      </c>
      <c r="S127" s="2"/>
      <c r="T127" s="7">
        <v>22580</v>
      </c>
      <c r="U127" s="2"/>
      <c r="V127" s="6">
        <f t="shared" si="66"/>
        <v>2.5559579912796328E-3</v>
      </c>
      <c r="W127" s="2"/>
      <c r="X127" s="7">
        <f t="shared" si="67"/>
        <v>25948.28</v>
      </c>
      <c r="Y127" s="2"/>
      <c r="Z127" s="6">
        <f t="shared" si="68"/>
        <v>1.1491709477413641</v>
      </c>
    </row>
    <row r="128" spans="1:26" s="28" customFormat="1" outlineLevel="1" collapsed="1" x14ac:dyDescent="0.25">
      <c r="A128" s="29"/>
      <c r="B128" s="14" t="str">
        <f>CONCATENATE("     ","Royalty &amp; Commissions                             ")</f>
        <v xml:space="preserve">     Royalty &amp; Commissions                             </v>
      </c>
      <c r="C128" s="14"/>
      <c r="D128" s="1">
        <f>SUM(OSRRefD22_19x_0)</f>
        <v>11775.939999999999</v>
      </c>
      <c r="E128" s="1"/>
      <c r="F128" s="5">
        <f t="shared" ref="F128:F132" si="69">IF(D$12=0,0,D128/D$12)</f>
        <v>4.6563451859906995E-3</v>
      </c>
      <c r="G128" s="1"/>
      <c r="H128" s="1">
        <f>SUM(OSRRefH22_19x_0)</f>
        <v>13194</v>
      </c>
      <c r="I128" s="1"/>
      <c r="J128" s="5">
        <f t="shared" ref="J128:J132" si="70">IF(H$12=0,0,H128/H$12)</f>
        <v>6.1233184543285097E-3</v>
      </c>
      <c r="K128" s="1"/>
      <c r="L128" s="1">
        <f t="shared" ref="L128:L132" si="71">+D128-H128</f>
        <v>-1418.0600000000013</v>
      </c>
      <c r="M128" s="1"/>
      <c r="N128" s="5">
        <f t="shared" ref="N128:N132" si="72">IF(H128=0,0,L128/H128)</f>
        <v>-0.10747764135212985</v>
      </c>
      <c r="O128" s="14"/>
      <c r="P128" s="1">
        <f>SUM(OSRRefP22_19x_0)</f>
        <v>20907.150000000001</v>
      </c>
      <c r="Q128" s="1"/>
      <c r="R128" s="5">
        <f t="shared" ref="R128:R132" si="73">IF(P$12=0,0,P128/P$12)</f>
        <v>2.6561259964136114E-3</v>
      </c>
      <c r="S128" s="1"/>
      <c r="T128" s="1">
        <f>SUM(OSRRefT22_19x_0)</f>
        <v>34183</v>
      </c>
      <c r="U128" s="1"/>
      <c r="V128" s="5">
        <f t="shared" ref="V128:V132" si="74">IF(T$12=0,0,T128/T$12)</f>
        <v>3.8693672283397558E-3</v>
      </c>
      <c r="W128" s="1"/>
      <c r="X128" s="1">
        <f t="shared" ref="X128:X132" si="75">+P128-T128</f>
        <v>-13275.849999999999</v>
      </c>
      <c r="Y128" s="1"/>
      <c r="Z128" s="5">
        <f t="shared" ref="Z128:Z132" si="76">IF(T128=0,0,X128/T128)</f>
        <v>-0.38837580083667317</v>
      </c>
    </row>
    <row r="129" spans="1:26" s="24" customFormat="1" hidden="1" outlineLevel="2" x14ac:dyDescent="0.25">
      <c r="A129" s="27"/>
      <c r="B129" s="11" t="str">
        <f>CONCATENATE("          ", "6252", " - ", "ROYALTY DUE CSTV")</f>
        <v xml:space="preserve">          6252 - ROYALTY DUE CSTV</v>
      </c>
      <c r="C129" s="11"/>
      <c r="D129" s="7"/>
      <c r="E129" s="2"/>
      <c r="F129" s="6">
        <f t="shared" si="69"/>
        <v>0</v>
      </c>
      <c r="G129" s="2"/>
      <c r="H129" s="7">
        <v>1122</v>
      </c>
      <c r="I129" s="2"/>
      <c r="J129" s="6">
        <f t="shared" si="70"/>
        <v>5.2071875896290639E-4</v>
      </c>
      <c r="K129" s="2"/>
      <c r="L129" s="7">
        <f t="shared" si="71"/>
        <v>-1122</v>
      </c>
      <c r="M129" s="2"/>
      <c r="N129" s="6">
        <f t="shared" si="72"/>
        <v>-1</v>
      </c>
      <c r="O129" s="11"/>
      <c r="P129" s="7"/>
      <c r="Q129" s="2"/>
      <c r="R129" s="6">
        <f t="shared" si="73"/>
        <v>0</v>
      </c>
      <c r="S129" s="2"/>
      <c r="T129" s="7">
        <v>5310</v>
      </c>
      <c r="U129" s="2"/>
      <c r="V129" s="6">
        <f t="shared" si="74"/>
        <v>6.0106895189082599E-4</v>
      </c>
      <c r="W129" s="2"/>
      <c r="X129" s="7">
        <f t="shared" si="75"/>
        <v>-5310</v>
      </c>
      <c r="Y129" s="2"/>
      <c r="Z129" s="6">
        <f t="shared" si="76"/>
        <v>-1</v>
      </c>
    </row>
    <row r="130" spans="1:26" s="24" customFormat="1" hidden="1" outlineLevel="2" x14ac:dyDescent="0.25">
      <c r="A130" s="27"/>
      <c r="B130" s="11" t="str">
        <f>CONCATENATE("          ", "6253", " - ", "ROYALTY DUE ATHLETICS-LRG")</f>
        <v xml:space="preserve">          6253 - ROYALTY DUE ATHLETICS-LRG</v>
      </c>
      <c r="C130" s="11"/>
      <c r="D130" s="7">
        <v>8783.75</v>
      </c>
      <c r="E130" s="2"/>
      <c r="F130" s="6">
        <f t="shared" si="69"/>
        <v>3.4731980655001481E-3</v>
      </c>
      <c r="G130" s="2"/>
      <c r="H130" s="7">
        <v>10490</v>
      </c>
      <c r="I130" s="2"/>
      <c r="J130" s="6">
        <f t="shared" si="70"/>
        <v>4.8683955272022178E-3</v>
      </c>
      <c r="K130" s="2"/>
      <c r="L130" s="7">
        <f t="shared" si="71"/>
        <v>-1706.25</v>
      </c>
      <c r="M130" s="2"/>
      <c r="N130" s="6">
        <f t="shared" si="72"/>
        <v>-0.16265490943755959</v>
      </c>
      <c r="O130" s="11"/>
      <c r="P130" s="7">
        <v>23160.29</v>
      </c>
      <c r="Q130" s="2"/>
      <c r="R130" s="6">
        <f t="shared" si="73"/>
        <v>2.9423737024643817E-3</v>
      </c>
      <c r="S130" s="2"/>
      <c r="T130" s="7">
        <v>16162</v>
      </c>
      <c r="U130" s="2"/>
      <c r="V130" s="6">
        <f t="shared" si="74"/>
        <v>1.8294682486741109E-3</v>
      </c>
      <c r="W130" s="2"/>
      <c r="X130" s="7">
        <f t="shared" si="75"/>
        <v>6998.2900000000009</v>
      </c>
      <c r="Y130" s="2"/>
      <c r="Z130" s="6">
        <f t="shared" si="76"/>
        <v>0.43300890978839257</v>
      </c>
    </row>
    <row r="131" spans="1:26" s="24" customFormat="1" hidden="1" outlineLevel="2" x14ac:dyDescent="0.25">
      <c r="A131" s="27"/>
      <c r="B131" s="11" t="str">
        <f>CONCATENATE("          ", "6254", " - ", "ROYALTY &amp; COMMISSIONS")</f>
        <v xml:space="preserve">          6254 - ROYALTY &amp; COMMISSIONS</v>
      </c>
      <c r="C131" s="11"/>
      <c r="D131" s="7">
        <v>1066.22</v>
      </c>
      <c r="E131" s="2"/>
      <c r="F131" s="6">
        <f t="shared" si="69"/>
        <v>4.2159592900498853E-4</v>
      </c>
      <c r="G131" s="2"/>
      <c r="H131" s="7">
        <v>0</v>
      </c>
      <c r="I131" s="2"/>
      <c r="J131" s="6">
        <f t="shared" si="70"/>
        <v>0</v>
      </c>
      <c r="K131" s="2"/>
      <c r="L131" s="7">
        <f t="shared" si="71"/>
        <v>1066.22</v>
      </c>
      <c r="M131" s="2"/>
      <c r="N131" s="6">
        <f t="shared" si="72"/>
        <v>0</v>
      </c>
      <c r="O131" s="11"/>
      <c r="P131" s="7">
        <v>-5961.28</v>
      </c>
      <c r="Q131" s="2"/>
      <c r="R131" s="6">
        <f t="shared" si="73"/>
        <v>-7.5734429512872546E-4</v>
      </c>
      <c r="S131" s="2"/>
      <c r="T131" s="7">
        <v>0</v>
      </c>
      <c r="U131" s="2"/>
      <c r="V131" s="6">
        <f t="shared" si="74"/>
        <v>0</v>
      </c>
      <c r="W131" s="2"/>
      <c r="X131" s="7">
        <f t="shared" si="75"/>
        <v>-5961.28</v>
      </c>
      <c r="Y131" s="2"/>
      <c r="Z131" s="6">
        <f t="shared" si="76"/>
        <v>0</v>
      </c>
    </row>
    <row r="132" spans="1:26" s="24" customFormat="1" hidden="1" outlineLevel="2" x14ac:dyDescent="0.25">
      <c r="A132" s="27"/>
      <c r="B132" s="11" t="str">
        <f>CONCATENATE("          ", "6259", " - ", "ROYALTY &amp; COMMISSIONS")</f>
        <v xml:space="preserve">          6259 - ROYALTY &amp; COMMISSIONS</v>
      </c>
      <c r="C132" s="11"/>
      <c r="D132" s="7">
        <v>1925.97</v>
      </c>
      <c r="E132" s="2"/>
      <c r="F132" s="6">
        <f t="shared" si="69"/>
        <v>7.6155119148556369E-4</v>
      </c>
      <c r="G132" s="2"/>
      <c r="H132" s="7">
        <v>1582</v>
      </c>
      <c r="I132" s="2"/>
      <c r="J132" s="6">
        <f t="shared" si="70"/>
        <v>7.3420416816338504E-4</v>
      </c>
      <c r="K132" s="2"/>
      <c r="L132" s="7">
        <f t="shared" si="71"/>
        <v>343.97</v>
      </c>
      <c r="M132" s="2"/>
      <c r="N132" s="6">
        <f t="shared" si="72"/>
        <v>0.21742730720606829</v>
      </c>
      <c r="O132" s="11"/>
      <c r="P132" s="7">
        <v>3708.14</v>
      </c>
      <c r="Q132" s="2"/>
      <c r="R132" s="6">
        <f t="shared" si="73"/>
        <v>4.7109658907795509E-4</v>
      </c>
      <c r="S132" s="2"/>
      <c r="T132" s="7">
        <v>12711</v>
      </c>
      <c r="U132" s="2"/>
      <c r="V132" s="6">
        <f t="shared" si="74"/>
        <v>1.438830027774819E-3</v>
      </c>
      <c r="W132" s="2"/>
      <c r="X132" s="7">
        <f t="shared" si="75"/>
        <v>-9002.86</v>
      </c>
      <c r="Y132" s="2"/>
      <c r="Z132" s="6">
        <f t="shared" si="76"/>
        <v>-0.70827314924081508</v>
      </c>
    </row>
    <row r="133" spans="1:26" s="28" customFormat="1" outlineLevel="1" collapsed="1" x14ac:dyDescent="0.25">
      <c r="A133" s="29"/>
      <c r="B133" s="14" t="str">
        <f>CONCATENATE("     ","Services                                          ")</f>
        <v xml:space="preserve">     Services                                          </v>
      </c>
      <c r="C133" s="14"/>
      <c r="D133" s="1">
        <f>SUM(OSRRefD22_20x_0)</f>
        <v>34896.58</v>
      </c>
      <c r="E133" s="1"/>
      <c r="F133" s="5">
        <f t="shared" ref="F133:F138" si="77">IF(D$12=0,0,D133/D$12)</f>
        <v>1.3798518189676522E-2</v>
      </c>
      <c r="G133" s="1"/>
      <c r="H133" s="1">
        <f>SUM(OSRRefH22_20x_0)</f>
        <v>37936</v>
      </c>
      <c r="I133" s="1"/>
      <c r="J133" s="5">
        <f t="shared" ref="J133:J138" si="78">IF(H$12=0,0,H133/H$12)</f>
        <v>1.7606048877020337E-2</v>
      </c>
      <c r="K133" s="1"/>
      <c r="L133" s="1">
        <f t="shared" ref="L133:L138" si="79">+D133-H133</f>
        <v>-3039.4199999999983</v>
      </c>
      <c r="M133" s="1"/>
      <c r="N133" s="5">
        <f t="shared" ref="N133:N138" si="80">IF(H133=0,0,L133/H133)</f>
        <v>-8.0119675242513663E-2</v>
      </c>
      <c r="O133" s="14"/>
      <c r="P133" s="1">
        <f>SUM(OSRRefP22_20x_0)</f>
        <v>133446.32</v>
      </c>
      <c r="Q133" s="1"/>
      <c r="R133" s="5">
        <f t="shared" ref="R133:R138" si="81">IF(P$12=0,0,P133/P$12)</f>
        <v>1.6953541715524576E-2</v>
      </c>
      <c r="S133" s="1"/>
      <c r="T133" s="1">
        <f>SUM(OSRRefT22_20x_0)</f>
        <v>141884</v>
      </c>
      <c r="U133" s="1"/>
      <c r="V133" s="5">
        <f t="shared" ref="V133:V138" si="82">IF(T$12=0,0,T133/T$12)</f>
        <v>1.6060652951050462E-2</v>
      </c>
      <c r="W133" s="1"/>
      <c r="X133" s="1">
        <f t="shared" ref="X133:X138" si="83">+P133-T133</f>
        <v>-8437.679999999993</v>
      </c>
      <c r="Y133" s="1"/>
      <c r="Z133" s="5">
        <f t="shared" ref="Z133:Z138" si="84">IF(T133=0,0,X133/T133)</f>
        <v>-5.9468861887175387E-2</v>
      </c>
    </row>
    <row r="134" spans="1:26" s="24" customFormat="1" hidden="1" outlineLevel="2" x14ac:dyDescent="0.25">
      <c r="A134" s="27"/>
      <c r="B134" s="11" t="str">
        <f>CONCATENATE("          ", "6282", " - ", "JANITORIAL/EXTERMINATOR EXPENS")</f>
        <v xml:space="preserve">          6282 - JANITORIAL/EXTERMINATOR EXPENS</v>
      </c>
      <c r="C134" s="11"/>
      <c r="D134" s="7">
        <v>6099.35</v>
      </c>
      <c r="E134" s="2"/>
      <c r="F134" s="6">
        <f t="shared" si="77"/>
        <v>2.4117547312717609E-3</v>
      </c>
      <c r="G134" s="2"/>
      <c r="H134" s="7">
        <v>7256</v>
      </c>
      <c r="I134" s="2"/>
      <c r="J134" s="6">
        <f t="shared" si="78"/>
        <v>3.3675002807797231E-3</v>
      </c>
      <c r="K134" s="2"/>
      <c r="L134" s="7">
        <f t="shared" si="79"/>
        <v>-1156.6499999999996</v>
      </c>
      <c r="M134" s="2"/>
      <c r="N134" s="6">
        <f t="shared" si="80"/>
        <v>-0.1594060088202866</v>
      </c>
      <c r="O134" s="11"/>
      <c r="P134" s="7">
        <v>14846.98</v>
      </c>
      <c r="Q134" s="2"/>
      <c r="R134" s="6">
        <f t="shared" si="81"/>
        <v>1.8862183294343303E-3</v>
      </c>
      <c r="S134" s="2"/>
      <c r="T134" s="7">
        <v>28666</v>
      </c>
      <c r="U134" s="2"/>
      <c r="V134" s="6">
        <f t="shared" si="82"/>
        <v>3.2448667749345418E-3</v>
      </c>
      <c r="W134" s="2"/>
      <c r="X134" s="7">
        <f t="shared" si="83"/>
        <v>-13819.02</v>
      </c>
      <c r="Y134" s="2"/>
      <c r="Z134" s="6">
        <f t="shared" si="84"/>
        <v>-0.48207004814065446</v>
      </c>
    </row>
    <row r="135" spans="1:26" s="24" customFormat="1" hidden="1" outlineLevel="2" x14ac:dyDescent="0.25">
      <c r="A135" s="27"/>
      <c r="B135" s="11" t="str">
        <f>CONCATENATE("          ", "6283", " - ", "PLANT SERVICE")</f>
        <v xml:space="preserve">          6283 - PLANT SERVICE</v>
      </c>
      <c r="C135" s="11"/>
      <c r="D135" s="7"/>
      <c r="E135" s="2"/>
      <c r="F135" s="6">
        <f t="shared" si="77"/>
        <v>0</v>
      </c>
      <c r="G135" s="2"/>
      <c r="H135" s="7">
        <v>100</v>
      </c>
      <c r="I135" s="2"/>
      <c r="J135" s="6">
        <f t="shared" si="78"/>
        <v>4.6409871565321429E-5</v>
      </c>
      <c r="K135" s="2"/>
      <c r="L135" s="7">
        <f t="shared" si="79"/>
        <v>-100</v>
      </c>
      <c r="M135" s="2"/>
      <c r="N135" s="6">
        <f t="shared" si="80"/>
        <v>-1</v>
      </c>
      <c r="O135" s="11"/>
      <c r="P135" s="7"/>
      <c r="Q135" s="2"/>
      <c r="R135" s="6">
        <f t="shared" si="81"/>
        <v>0</v>
      </c>
      <c r="S135" s="2"/>
      <c r="T135" s="7">
        <v>400</v>
      </c>
      <c r="U135" s="2"/>
      <c r="V135" s="6">
        <f t="shared" si="82"/>
        <v>4.5278263795919092E-5</v>
      </c>
      <c r="W135" s="2"/>
      <c r="X135" s="7">
        <f t="shared" si="83"/>
        <v>-400</v>
      </c>
      <c r="Y135" s="2"/>
      <c r="Z135" s="6">
        <f t="shared" si="84"/>
        <v>-1</v>
      </c>
    </row>
    <row r="136" spans="1:26" s="24" customFormat="1" hidden="1" outlineLevel="2" x14ac:dyDescent="0.25">
      <c r="A136" s="27"/>
      <c r="B136" s="11" t="str">
        <f>CONCATENATE("          ", "6284", " - ", "TRASH REMOVAL EXPENSE")</f>
        <v xml:space="preserve">          6284 - TRASH REMOVAL EXPENSE</v>
      </c>
      <c r="C136" s="11"/>
      <c r="D136" s="7">
        <v>149.69999999999999</v>
      </c>
      <c r="E136" s="2"/>
      <c r="F136" s="6">
        <f t="shared" si="77"/>
        <v>5.9193140788999241E-5</v>
      </c>
      <c r="G136" s="2"/>
      <c r="H136" s="7">
        <v>1660</v>
      </c>
      <c r="I136" s="2"/>
      <c r="J136" s="6">
        <f t="shared" si="78"/>
        <v>7.7040386798433579E-4</v>
      </c>
      <c r="K136" s="2"/>
      <c r="L136" s="7">
        <f t="shared" si="79"/>
        <v>-1510.3</v>
      </c>
      <c r="M136" s="2"/>
      <c r="N136" s="6">
        <f t="shared" si="80"/>
        <v>-0.90981927710843369</v>
      </c>
      <c r="O136" s="11"/>
      <c r="P136" s="7">
        <v>591.66999999999996</v>
      </c>
      <c r="Q136" s="2"/>
      <c r="R136" s="6">
        <f t="shared" si="81"/>
        <v>7.5168067780545956E-5</v>
      </c>
      <c r="S136" s="2"/>
      <c r="T136" s="7">
        <v>6700</v>
      </c>
      <c r="U136" s="2"/>
      <c r="V136" s="6">
        <f t="shared" si="82"/>
        <v>7.5841091858164483E-4</v>
      </c>
      <c r="W136" s="2"/>
      <c r="X136" s="7">
        <f t="shared" si="83"/>
        <v>-6108.33</v>
      </c>
      <c r="Y136" s="2"/>
      <c r="Z136" s="6">
        <f t="shared" si="84"/>
        <v>-0.9116910447761194</v>
      </c>
    </row>
    <row r="137" spans="1:26" s="24" customFormat="1" hidden="1" outlineLevel="2" x14ac:dyDescent="0.25">
      <c r="A137" s="27"/>
      <c r="B137" s="11" t="str">
        <f>CONCATENATE("          ", "6285", " - ", "JANITORIAL SERVICES")</f>
        <v xml:space="preserve">          6285 - JANITORIAL SERVICES</v>
      </c>
      <c r="C137" s="11"/>
      <c r="D137" s="7">
        <v>21211.46</v>
      </c>
      <c r="E137" s="2"/>
      <c r="F137" s="6">
        <f t="shared" si="77"/>
        <v>8.387260775686212E-3</v>
      </c>
      <c r="G137" s="2"/>
      <c r="H137" s="7">
        <v>23434</v>
      </c>
      <c r="I137" s="2"/>
      <c r="J137" s="6">
        <f t="shared" si="78"/>
        <v>1.0875689302617423E-2</v>
      </c>
      <c r="K137" s="2"/>
      <c r="L137" s="7">
        <f t="shared" si="79"/>
        <v>-2222.5400000000009</v>
      </c>
      <c r="M137" s="2"/>
      <c r="N137" s="6">
        <f t="shared" si="80"/>
        <v>-9.4842536485448534E-2</v>
      </c>
      <c r="O137" s="11"/>
      <c r="P137" s="7">
        <v>105504.55</v>
      </c>
      <c r="Q137" s="2"/>
      <c r="R137" s="6">
        <f t="shared" si="81"/>
        <v>1.3403710118065815E-2</v>
      </c>
      <c r="S137" s="2"/>
      <c r="T137" s="7">
        <v>85928</v>
      </c>
      <c r="U137" s="2"/>
      <c r="V137" s="6">
        <f t="shared" si="82"/>
        <v>9.7266766286393403E-3</v>
      </c>
      <c r="W137" s="2"/>
      <c r="X137" s="7">
        <f t="shared" si="83"/>
        <v>19576.550000000003</v>
      </c>
      <c r="Y137" s="2"/>
      <c r="Z137" s="6">
        <f t="shared" si="84"/>
        <v>0.22782503956801045</v>
      </c>
    </row>
    <row r="138" spans="1:26" s="24" customFormat="1" hidden="1" outlineLevel="2" x14ac:dyDescent="0.25">
      <c r="A138" s="27"/>
      <c r="B138" s="11" t="str">
        <f>CONCATENATE("          ", "6286", " - ", "LAUNDRY EXPENSE")</f>
        <v xml:space="preserve">          6286 - LAUNDRY EXPENSE</v>
      </c>
      <c r="C138" s="11"/>
      <c r="D138" s="7">
        <v>7436.07</v>
      </c>
      <c r="E138" s="2"/>
      <c r="F138" s="6">
        <f t="shared" si="77"/>
        <v>2.9403095419295497E-3</v>
      </c>
      <c r="G138" s="2"/>
      <c r="H138" s="7">
        <v>5486</v>
      </c>
      <c r="I138" s="2"/>
      <c r="J138" s="6">
        <f t="shared" si="78"/>
        <v>2.5460455540735338E-3</v>
      </c>
      <c r="K138" s="2"/>
      <c r="L138" s="7">
        <f t="shared" si="79"/>
        <v>1950.0699999999997</v>
      </c>
      <c r="M138" s="2"/>
      <c r="N138" s="6">
        <f t="shared" si="80"/>
        <v>0.35546299671892084</v>
      </c>
      <c r="O138" s="11"/>
      <c r="P138" s="7">
        <v>12503.12</v>
      </c>
      <c r="Q138" s="2"/>
      <c r="R138" s="6">
        <f t="shared" si="81"/>
        <v>1.5884452002438857E-3</v>
      </c>
      <c r="S138" s="2"/>
      <c r="T138" s="7">
        <v>20190</v>
      </c>
      <c r="U138" s="2"/>
      <c r="V138" s="6">
        <f t="shared" si="82"/>
        <v>2.2854203650990164E-3</v>
      </c>
      <c r="W138" s="2"/>
      <c r="X138" s="7">
        <f t="shared" si="83"/>
        <v>-7686.8799999999992</v>
      </c>
      <c r="Y138" s="2"/>
      <c r="Z138" s="6">
        <f t="shared" si="84"/>
        <v>-0.3807270926201089</v>
      </c>
    </row>
    <row r="139" spans="1:26" s="28" customFormat="1" outlineLevel="1" collapsed="1" x14ac:dyDescent="0.25">
      <c r="A139" s="29"/>
      <c r="B139" s="14" t="str">
        <f>CONCATENATE("     ","Subscriptions &amp; Dues                              ")</f>
        <v xml:space="preserve">     Subscriptions &amp; Dues                              </v>
      </c>
      <c r="C139" s="14"/>
      <c r="D139" s="1">
        <f>SUM(OSRRefD22_21x_0)</f>
        <v>1717.8899999999999</v>
      </c>
      <c r="E139" s="1"/>
      <c r="F139" s="5">
        <f t="shared" ref="F139:F141" si="85">IF(D$12=0,0,D139/D$12)</f>
        <v>6.7927391202414098E-4</v>
      </c>
      <c r="G139" s="1"/>
      <c r="H139" s="1">
        <f>SUM(OSRRefH22_21x_0)</f>
        <v>2056</v>
      </c>
      <c r="I139" s="1"/>
      <c r="J139" s="5">
        <f t="shared" ref="J139:J141" si="86">IF(H$12=0,0,H139/H$12)</f>
        <v>9.5418695938300857E-4</v>
      </c>
      <c r="K139" s="1"/>
      <c r="L139" s="1">
        <f t="shared" ref="L139:L141" si="87">+D139-H139</f>
        <v>-338.11000000000013</v>
      </c>
      <c r="M139" s="1"/>
      <c r="N139" s="5">
        <f t="shared" ref="N139:N141" si="88">IF(H139=0,0,L139/H139)</f>
        <v>-0.16445038910505844</v>
      </c>
      <c r="O139" s="14"/>
      <c r="P139" s="1">
        <f>SUM(OSRRefP22_21x_0)</f>
        <v>2903.84</v>
      </c>
      <c r="Q139" s="1"/>
      <c r="R139" s="5">
        <f t="shared" ref="R139:R141" si="89">IF(P$12=0,0,P139/P$12)</f>
        <v>3.6891517559426806E-4</v>
      </c>
      <c r="S139" s="1"/>
      <c r="T139" s="1">
        <f>SUM(OSRRefT22_21x_0)</f>
        <v>7429</v>
      </c>
      <c r="U139" s="1"/>
      <c r="V139" s="5">
        <f t="shared" ref="V139:V141" si="90">IF(T$12=0,0,T139/T$12)</f>
        <v>8.4093055434970735E-4</v>
      </c>
      <c r="W139" s="1"/>
      <c r="X139" s="1">
        <f t="shared" ref="X139:X141" si="91">+P139-T139</f>
        <v>-4525.16</v>
      </c>
      <c r="Y139" s="1"/>
      <c r="Z139" s="5">
        <f t="shared" ref="Z139:Z141" si="92">IF(T139=0,0,X139/T139)</f>
        <v>-0.60912101224929327</v>
      </c>
    </row>
    <row r="140" spans="1:26" s="24" customFormat="1" hidden="1" outlineLevel="2" x14ac:dyDescent="0.25">
      <c r="A140" s="27"/>
      <c r="B140" s="11" t="str">
        <f>CONCATENATE("          ", "6258", " - ", "MEMBERSHIP DUES")</f>
        <v xml:space="preserve">          6258 - MEMBERSHIP DUES</v>
      </c>
      <c r="C140" s="11"/>
      <c r="D140" s="7">
        <v>904.08</v>
      </c>
      <c r="E140" s="2"/>
      <c r="F140" s="6">
        <f t="shared" si="85"/>
        <v>3.574838658952468E-4</v>
      </c>
      <c r="G140" s="2"/>
      <c r="H140" s="7">
        <v>1385</v>
      </c>
      <c r="I140" s="2"/>
      <c r="J140" s="6">
        <f t="shared" si="86"/>
        <v>6.4277672117970185E-4</v>
      </c>
      <c r="K140" s="2"/>
      <c r="L140" s="7">
        <f t="shared" si="87"/>
        <v>-480.91999999999996</v>
      </c>
      <c r="M140" s="2"/>
      <c r="N140" s="6">
        <f t="shared" si="88"/>
        <v>-0.34723465703971118</v>
      </c>
      <c r="O140" s="11"/>
      <c r="P140" s="7">
        <v>956.84</v>
      </c>
      <c r="Q140" s="2"/>
      <c r="R140" s="6">
        <f t="shared" si="89"/>
        <v>1.215606908836642E-4</v>
      </c>
      <c r="S140" s="2"/>
      <c r="T140" s="7">
        <v>4935</v>
      </c>
      <c r="U140" s="2"/>
      <c r="V140" s="6">
        <f t="shared" si="90"/>
        <v>5.5862057958215182E-4</v>
      </c>
      <c r="W140" s="2"/>
      <c r="X140" s="7">
        <f t="shared" si="91"/>
        <v>-3978.16</v>
      </c>
      <c r="Y140" s="2"/>
      <c r="Z140" s="6">
        <f t="shared" si="92"/>
        <v>-0.80611144883485308</v>
      </c>
    </row>
    <row r="141" spans="1:26" s="24" customFormat="1" hidden="1" outlineLevel="2" x14ac:dyDescent="0.25">
      <c r="A141" s="27"/>
      <c r="B141" s="11" t="str">
        <f>CONCATENATE("          ", "6275", " - ", "SUBSCRIPTIONS")</f>
        <v xml:space="preserve">          6275 - SUBSCRIPTIONS</v>
      </c>
      <c r="C141" s="11"/>
      <c r="D141" s="7">
        <v>813.81</v>
      </c>
      <c r="E141" s="2"/>
      <c r="F141" s="6">
        <f t="shared" si="85"/>
        <v>3.2179004612889429E-4</v>
      </c>
      <c r="G141" s="2"/>
      <c r="H141" s="7">
        <v>671</v>
      </c>
      <c r="I141" s="2"/>
      <c r="J141" s="6">
        <f t="shared" si="86"/>
        <v>3.1141023820330677E-4</v>
      </c>
      <c r="K141" s="2"/>
      <c r="L141" s="7">
        <f t="shared" si="87"/>
        <v>142.80999999999995</v>
      </c>
      <c r="M141" s="2"/>
      <c r="N141" s="6">
        <f t="shared" si="88"/>
        <v>0.21283159463487325</v>
      </c>
      <c r="O141" s="11"/>
      <c r="P141" s="7">
        <v>1947</v>
      </c>
      <c r="Q141" s="2"/>
      <c r="R141" s="6">
        <f t="shared" si="89"/>
        <v>2.4735448471060382E-4</v>
      </c>
      <c r="S141" s="2"/>
      <c r="T141" s="7">
        <v>2494</v>
      </c>
      <c r="U141" s="2"/>
      <c r="V141" s="6">
        <f t="shared" si="90"/>
        <v>2.8230997476755553E-4</v>
      </c>
      <c r="W141" s="2"/>
      <c r="X141" s="7">
        <f t="shared" si="91"/>
        <v>-547</v>
      </c>
      <c r="Y141" s="2"/>
      <c r="Z141" s="6">
        <f t="shared" si="92"/>
        <v>-0.21932638331996793</v>
      </c>
    </row>
    <row r="142" spans="1:26" s="28" customFormat="1" outlineLevel="1" collapsed="1" x14ac:dyDescent="0.25">
      <c r="A142" s="29"/>
      <c r="B142" s="14" t="str">
        <f>CONCATENATE("     ","Supplies                                          ")</f>
        <v xml:space="preserve">     Supplies                                          </v>
      </c>
      <c r="C142" s="14"/>
      <c r="D142" s="1">
        <f>SUM(OSRRefD22_22x_0)</f>
        <v>117629.37999999998</v>
      </c>
      <c r="E142" s="1"/>
      <c r="F142" s="5">
        <f t="shared" ref="F142:F152" si="93">IF(D$12=0,0,D142/D$12)</f>
        <v>4.6512040422596462E-2</v>
      </c>
      <c r="G142" s="1"/>
      <c r="H142" s="1">
        <f>SUM(OSRRefH22_22x_0)</f>
        <v>51015</v>
      </c>
      <c r="I142" s="1"/>
      <c r="J142" s="5">
        <f t="shared" ref="J142:J152" si="94">IF(H$12=0,0,H142/H$12)</f>
        <v>2.3675995979048729E-2</v>
      </c>
      <c r="K142" s="1"/>
      <c r="L142" s="1">
        <f t="shared" ref="L142:L152" si="95">+D142-H142</f>
        <v>66614.379999999976</v>
      </c>
      <c r="M142" s="1"/>
      <c r="N142" s="5">
        <f t="shared" ref="N142:N152" si="96">IF(H142=0,0,L142/H142)</f>
        <v>1.3057802607076345</v>
      </c>
      <c r="O142" s="14"/>
      <c r="P142" s="1">
        <f>SUM(OSRRefP22_22x_0)</f>
        <v>235854.81</v>
      </c>
      <c r="Q142" s="1"/>
      <c r="R142" s="5">
        <f t="shared" ref="R142:R152" si="97">IF(P$12=0,0,P142/P$12)</f>
        <v>2.9963916278411596E-2</v>
      </c>
      <c r="S142" s="1"/>
      <c r="T142" s="1">
        <f>SUM(OSRRefT22_22x_0)</f>
        <v>221508</v>
      </c>
      <c r="U142" s="1"/>
      <c r="V142" s="5">
        <f t="shared" ref="V142:V152" si="98">IF(T$12=0,0,T142/T$12)</f>
        <v>2.5073744142266118E-2</v>
      </c>
      <c r="W142" s="1"/>
      <c r="X142" s="1">
        <f t="shared" ref="X142:X152" si="99">+P142-T142</f>
        <v>14346.809999999998</v>
      </c>
      <c r="Y142" s="1"/>
      <c r="Z142" s="5">
        <f t="shared" ref="Z142:Z152" si="100">IF(T142=0,0,X142/T142)</f>
        <v>6.4768811961644718E-2</v>
      </c>
    </row>
    <row r="143" spans="1:26" s="24" customFormat="1" hidden="1" outlineLevel="2" x14ac:dyDescent="0.25">
      <c r="A143" s="27"/>
      <c r="B143" s="11" t="str">
        <f>CONCATENATE("          ", "6234", " - ", "EXPENDABLE SUPPLIES &amp; EQUIPMEN")</f>
        <v xml:space="preserve">          6234 - EXPENDABLE SUPPLIES &amp; EQUIPMEN</v>
      </c>
      <c r="C143" s="11"/>
      <c r="D143" s="7">
        <v>3737.3</v>
      </c>
      <c r="E143" s="2"/>
      <c r="F143" s="6">
        <f t="shared" si="93"/>
        <v>1.47777237856197E-3</v>
      </c>
      <c r="G143" s="2"/>
      <c r="H143" s="7">
        <v>6492</v>
      </c>
      <c r="I143" s="2"/>
      <c r="J143" s="6">
        <f t="shared" si="94"/>
        <v>3.0129288620206673E-3</v>
      </c>
      <c r="K143" s="2"/>
      <c r="L143" s="7">
        <f t="shared" si="95"/>
        <v>-2754.7</v>
      </c>
      <c r="M143" s="2"/>
      <c r="N143" s="6">
        <f t="shared" si="96"/>
        <v>-0.42432224276032038</v>
      </c>
      <c r="O143" s="11"/>
      <c r="P143" s="7">
        <v>3759.28</v>
      </c>
      <c r="Q143" s="2"/>
      <c r="R143" s="6">
        <f t="shared" si="97"/>
        <v>4.7759361442366663E-4</v>
      </c>
      <c r="S143" s="2"/>
      <c r="T143" s="7">
        <v>25468</v>
      </c>
      <c r="U143" s="2"/>
      <c r="V143" s="6">
        <f t="shared" si="98"/>
        <v>2.8828670558861684E-3</v>
      </c>
      <c r="W143" s="2"/>
      <c r="X143" s="7">
        <f t="shared" si="99"/>
        <v>-21708.720000000001</v>
      </c>
      <c r="Y143" s="2"/>
      <c r="Z143" s="6">
        <f t="shared" si="100"/>
        <v>-0.85239202136013825</v>
      </c>
    </row>
    <row r="144" spans="1:26" s="24" customFormat="1" hidden="1" outlineLevel="2" x14ac:dyDescent="0.25">
      <c r="A144" s="27"/>
      <c r="B144" s="11" t="str">
        <f>CONCATENATE("          ", "6235", " - ", "COVID-19 EXPENSES")</f>
        <v xml:space="preserve">          6235 - COVID-19 EXPENSES</v>
      </c>
      <c r="C144" s="11"/>
      <c r="D144" s="7"/>
      <c r="E144" s="2"/>
      <c r="F144" s="6">
        <f t="shared" si="93"/>
        <v>0</v>
      </c>
      <c r="G144" s="2"/>
      <c r="H144" s="7">
        <v>375</v>
      </c>
      <c r="I144" s="2"/>
      <c r="J144" s="6">
        <f t="shared" si="94"/>
        <v>1.7403701836995537E-4</v>
      </c>
      <c r="K144" s="2"/>
      <c r="L144" s="7">
        <f t="shared" si="95"/>
        <v>-375</v>
      </c>
      <c r="M144" s="2"/>
      <c r="N144" s="6">
        <f t="shared" si="96"/>
        <v>-1</v>
      </c>
      <c r="O144" s="11"/>
      <c r="P144" s="7">
        <v>3623.82</v>
      </c>
      <c r="Q144" s="2"/>
      <c r="R144" s="6">
        <f t="shared" si="97"/>
        <v>4.6038424693578865E-4</v>
      </c>
      <c r="S144" s="2"/>
      <c r="T144" s="7">
        <v>1750</v>
      </c>
      <c r="U144" s="2"/>
      <c r="V144" s="6">
        <f t="shared" si="98"/>
        <v>1.9809240410714602E-4</v>
      </c>
      <c r="W144" s="2"/>
      <c r="X144" s="7">
        <f t="shared" si="99"/>
        <v>1873.8200000000002</v>
      </c>
      <c r="Y144" s="2"/>
      <c r="Z144" s="6">
        <f t="shared" si="100"/>
        <v>1.0707542857142858</v>
      </c>
    </row>
    <row r="145" spans="1:26" s="24" customFormat="1" hidden="1" outlineLevel="2" x14ac:dyDescent="0.25">
      <c r="A145" s="27"/>
      <c r="B145" s="11" t="str">
        <f>CONCATENATE("          ", "6237", " - ", "JANITORIAL SUPPLIES")</f>
        <v xml:space="preserve">          6237 - JANITORIAL SUPPLIES</v>
      </c>
      <c r="C145" s="11"/>
      <c r="D145" s="7">
        <v>7075.92</v>
      </c>
      <c r="E145" s="2"/>
      <c r="F145" s="6">
        <f t="shared" si="93"/>
        <v>2.7979019958029095E-3</v>
      </c>
      <c r="G145" s="2"/>
      <c r="H145" s="7">
        <v>10035</v>
      </c>
      <c r="I145" s="2"/>
      <c r="J145" s="6">
        <f t="shared" si="94"/>
        <v>4.6572306115800054E-3</v>
      </c>
      <c r="K145" s="2"/>
      <c r="L145" s="7">
        <f t="shared" si="95"/>
        <v>-2959.08</v>
      </c>
      <c r="M145" s="2"/>
      <c r="N145" s="6">
        <f t="shared" si="96"/>
        <v>-0.29487593423019431</v>
      </c>
      <c r="O145" s="11"/>
      <c r="P145" s="7">
        <v>31354.86</v>
      </c>
      <c r="Q145" s="2"/>
      <c r="R145" s="6">
        <f t="shared" si="97"/>
        <v>3.983443882112545E-3</v>
      </c>
      <c r="S145" s="2"/>
      <c r="T145" s="7">
        <v>44558</v>
      </c>
      <c r="U145" s="2"/>
      <c r="V145" s="6">
        <f t="shared" si="98"/>
        <v>5.0437721955464074E-3</v>
      </c>
      <c r="W145" s="2"/>
      <c r="X145" s="7">
        <f t="shared" si="99"/>
        <v>-13203.14</v>
      </c>
      <c r="Y145" s="2"/>
      <c r="Z145" s="6">
        <f t="shared" si="100"/>
        <v>-0.29631356883163518</v>
      </c>
    </row>
    <row r="146" spans="1:26" s="24" customFormat="1" hidden="1" outlineLevel="2" x14ac:dyDescent="0.25">
      <c r="A146" s="27"/>
      <c r="B146" s="11" t="str">
        <f>CONCATENATE("          ", "6239", " - ", "KITCHEN SUPPLIES")</f>
        <v xml:space="preserve">          6239 - KITCHEN SUPPLIES</v>
      </c>
      <c r="C146" s="11"/>
      <c r="D146" s="7">
        <v>10993.74</v>
      </c>
      <c r="E146" s="2"/>
      <c r="F146" s="6">
        <f t="shared" si="93"/>
        <v>4.3470541056623421E-3</v>
      </c>
      <c r="G146" s="2"/>
      <c r="H146" s="7">
        <v>3900</v>
      </c>
      <c r="I146" s="2"/>
      <c r="J146" s="6">
        <f t="shared" si="94"/>
        <v>1.8099849910475359E-3</v>
      </c>
      <c r="K146" s="2"/>
      <c r="L146" s="7">
        <f t="shared" si="95"/>
        <v>7093.74</v>
      </c>
      <c r="M146" s="2"/>
      <c r="N146" s="6">
        <f t="shared" si="96"/>
        <v>1.8189076923076923</v>
      </c>
      <c r="O146" s="11"/>
      <c r="P146" s="7">
        <v>25113.62</v>
      </c>
      <c r="Q146" s="2"/>
      <c r="R146" s="6">
        <f t="shared" si="97"/>
        <v>3.1905323750990831E-3</v>
      </c>
      <c r="S146" s="2"/>
      <c r="T146" s="7">
        <v>26049</v>
      </c>
      <c r="U146" s="2"/>
      <c r="V146" s="6">
        <f t="shared" si="98"/>
        <v>2.9486337340497411E-3</v>
      </c>
      <c r="W146" s="2"/>
      <c r="X146" s="7">
        <f t="shared" si="99"/>
        <v>-935.38000000000102</v>
      </c>
      <c r="Y146" s="2"/>
      <c r="Z146" s="6">
        <f t="shared" si="100"/>
        <v>-3.5908480171983607E-2</v>
      </c>
    </row>
    <row r="147" spans="1:26" s="24" customFormat="1" hidden="1" outlineLevel="2" x14ac:dyDescent="0.25">
      <c r="A147" s="27"/>
      <c r="B147" s="11" t="str">
        <f>CONCATENATE("          ", "6241", " - ", "OFFICE EXPENSE")</f>
        <v xml:space="preserve">          6241 - OFFICE EXPENSE</v>
      </c>
      <c r="C147" s="11"/>
      <c r="D147" s="7">
        <v>22884.22</v>
      </c>
      <c r="E147" s="2"/>
      <c r="F147" s="6">
        <f t="shared" si="93"/>
        <v>9.0486897548859874E-3</v>
      </c>
      <c r="G147" s="2"/>
      <c r="H147" s="7">
        <v>2075</v>
      </c>
      <c r="I147" s="2"/>
      <c r="J147" s="6">
        <f t="shared" si="94"/>
        <v>9.6300483498041971E-4</v>
      </c>
      <c r="K147" s="2"/>
      <c r="L147" s="7">
        <f t="shared" si="95"/>
        <v>20809.22</v>
      </c>
      <c r="M147" s="2"/>
      <c r="N147" s="6">
        <f t="shared" si="96"/>
        <v>10.028539759036144</v>
      </c>
      <c r="O147" s="11"/>
      <c r="P147" s="7">
        <v>39578.19</v>
      </c>
      <c r="Q147" s="2"/>
      <c r="R147" s="6">
        <f t="shared" si="97"/>
        <v>5.0281678444932584E-3</v>
      </c>
      <c r="S147" s="2"/>
      <c r="T147" s="7">
        <v>11327</v>
      </c>
      <c r="U147" s="2"/>
      <c r="V147" s="6">
        <f t="shared" si="98"/>
        <v>1.2821672350409388E-3</v>
      </c>
      <c r="W147" s="2"/>
      <c r="X147" s="7">
        <f t="shared" si="99"/>
        <v>28251.190000000002</v>
      </c>
      <c r="Y147" s="2"/>
      <c r="Z147" s="6">
        <f t="shared" si="100"/>
        <v>2.4941458462081751</v>
      </c>
    </row>
    <row r="148" spans="1:26" s="24" customFormat="1" hidden="1" outlineLevel="2" x14ac:dyDescent="0.25">
      <c r="A148" s="27"/>
      <c r="B148" s="11" t="str">
        <f>CONCATENATE("          ", "6243", " - ", "PAPER SUPPLIES")</f>
        <v xml:space="preserve">          6243 - PAPER SUPPLIES</v>
      </c>
      <c r="C148" s="11"/>
      <c r="D148" s="7">
        <v>58972.06</v>
      </c>
      <c r="E148" s="2"/>
      <c r="F148" s="6">
        <f t="shared" si="93"/>
        <v>2.3318246160302678E-2</v>
      </c>
      <c r="G148" s="2"/>
      <c r="H148" s="7">
        <v>17700</v>
      </c>
      <c r="I148" s="2"/>
      <c r="J148" s="6">
        <f t="shared" si="94"/>
        <v>8.2145472670618926E-3</v>
      </c>
      <c r="K148" s="2"/>
      <c r="L148" s="7">
        <f t="shared" si="95"/>
        <v>41272.06</v>
      </c>
      <c r="M148" s="2"/>
      <c r="N148" s="6">
        <f t="shared" si="96"/>
        <v>2.3317548022598871</v>
      </c>
      <c r="O148" s="11"/>
      <c r="P148" s="7">
        <v>101799.47</v>
      </c>
      <c r="Q148" s="2"/>
      <c r="R148" s="6">
        <f t="shared" si="97"/>
        <v>1.2933002283339792E-2</v>
      </c>
      <c r="S148" s="2"/>
      <c r="T148" s="7">
        <v>71433</v>
      </c>
      <c r="U148" s="2"/>
      <c r="V148" s="6">
        <f t="shared" si="98"/>
        <v>8.0859055443347205E-3</v>
      </c>
      <c r="W148" s="2"/>
      <c r="X148" s="7">
        <f t="shared" si="99"/>
        <v>30366.47</v>
      </c>
      <c r="Y148" s="2"/>
      <c r="Z148" s="6">
        <f t="shared" si="100"/>
        <v>0.42510422353814065</v>
      </c>
    </row>
    <row r="149" spans="1:26" s="24" customFormat="1" hidden="1" outlineLevel="2" x14ac:dyDescent="0.25">
      <c r="A149" s="27"/>
      <c r="B149" s="11" t="str">
        <f>CONCATENATE("          ", "6244", " - ", "SAFETY SUPPLY EXPENSE")</f>
        <v xml:space="preserve">          6244 - SAFETY SUPPLY EXPENSE</v>
      </c>
      <c r="C149" s="11"/>
      <c r="D149" s="7"/>
      <c r="E149" s="2"/>
      <c r="F149" s="6">
        <f t="shared" si="93"/>
        <v>0</v>
      </c>
      <c r="G149" s="2"/>
      <c r="H149" s="7">
        <v>525</v>
      </c>
      <c r="I149" s="2"/>
      <c r="J149" s="6">
        <f t="shared" si="94"/>
        <v>2.4365182571793749E-4</v>
      </c>
      <c r="K149" s="2"/>
      <c r="L149" s="7">
        <f t="shared" si="95"/>
        <v>-525</v>
      </c>
      <c r="M149" s="2"/>
      <c r="N149" s="6">
        <f t="shared" si="96"/>
        <v>-1</v>
      </c>
      <c r="O149" s="11"/>
      <c r="P149" s="7"/>
      <c r="Q149" s="2"/>
      <c r="R149" s="6">
        <f t="shared" si="97"/>
        <v>0</v>
      </c>
      <c r="S149" s="2"/>
      <c r="T149" s="7">
        <v>2150</v>
      </c>
      <c r="U149" s="2"/>
      <c r="V149" s="6">
        <f t="shared" si="98"/>
        <v>2.4337066790306513E-4</v>
      </c>
      <c r="W149" s="2"/>
      <c r="X149" s="7">
        <f t="shared" si="99"/>
        <v>-2150</v>
      </c>
      <c r="Y149" s="2"/>
      <c r="Z149" s="6">
        <f t="shared" si="100"/>
        <v>-1</v>
      </c>
    </row>
    <row r="150" spans="1:26" s="24" customFormat="1" hidden="1" outlineLevel="2" x14ac:dyDescent="0.25">
      <c r="A150" s="27"/>
      <c r="B150" s="11" t="str">
        <f>CONCATENATE("          ", "6245", " - ", "PRINTING")</f>
        <v xml:space="preserve">          6245 - PRINTING</v>
      </c>
      <c r="C150" s="11"/>
      <c r="D150" s="7">
        <v>1367.68</v>
      </c>
      <c r="E150" s="2"/>
      <c r="F150" s="6">
        <f t="shared" si="93"/>
        <v>5.4079675881294918E-4</v>
      </c>
      <c r="G150" s="2"/>
      <c r="H150" s="7">
        <v>350</v>
      </c>
      <c r="I150" s="2"/>
      <c r="J150" s="6">
        <f t="shared" si="94"/>
        <v>1.6243455047862501E-4</v>
      </c>
      <c r="K150" s="2"/>
      <c r="L150" s="7">
        <f t="shared" si="95"/>
        <v>1017.6800000000001</v>
      </c>
      <c r="M150" s="2"/>
      <c r="N150" s="6">
        <f t="shared" si="96"/>
        <v>2.9076571428571429</v>
      </c>
      <c r="O150" s="11"/>
      <c r="P150" s="7">
        <v>1043.93</v>
      </c>
      <c r="Q150" s="2"/>
      <c r="R150" s="6">
        <f t="shared" si="97"/>
        <v>1.3262494464506456E-4</v>
      </c>
      <c r="S150" s="2"/>
      <c r="T150" s="7">
        <v>2805</v>
      </c>
      <c r="U150" s="2"/>
      <c r="V150" s="6">
        <f t="shared" si="98"/>
        <v>3.1751382486888262E-4</v>
      </c>
      <c r="W150" s="2"/>
      <c r="X150" s="7">
        <f t="shared" si="99"/>
        <v>-1761.07</v>
      </c>
      <c r="Y150" s="2"/>
      <c r="Z150" s="6">
        <f t="shared" si="100"/>
        <v>-0.62783244206773614</v>
      </c>
    </row>
    <row r="151" spans="1:26" s="24" customFormat="1" hidden="1" outlineLevel="2" x14ac:dyDescent="0.25">
      <c r="A151" s="27"/>
      <c r="B151" s="11" t="str">
        <f>CONCATENATE("          ", "6247", " - ", "STORE SUPPLIES")</f>
        <v xml:space="preserve">          6247 - STORE SUPPLIES</v>
      </c>
      <c r="C151" s="11"/>
      <c r="D151" s="7">
        <v>6987.23</v>
      </c>
      <c r="E151" s="2"/>
      <c r="F151" s="6">
        <f t="shared" si="93"/>
        <v>2.7628329266207027E-3</v>
      </c>
      <c r="G151" s="2"/>
      <c r="H151" s="7">
        <v>8975</v>
      </c>
      <c r="I151" s="2"/>
      <c r="J151" s="6">
        <f t="shared" si="94"/>
        <v>4.165285972987598E-3</v>
      </c>
      <c r="K151" s="2"/>
      <c r="L151" s="7">
        <f t="shared" si="95"/>
        <v>-1987.7700000000004</v>
      </c>
      <c r="M151" s="2"/>
      <c r="N151" s="6">
        <f t="shared" si="96"/>
        <v>-0.22147855153203347</v>
      </c>
      <c r="O151" s="11"/>
      <c r="P151" s="7">
        <v>23970.41</v>
      </c>
      <c r="Q151" s="2"/>
      <c r="R151" s="6">
        <f t="shared" si="97"/>
        <v>3.0452945114801777E-3</v>
      </c>
      <c r="S151" s="2"/>
      <c r="T151" s="7">
        <v>31016</v>
      </c>
      <c r="U151" s="2"/>
      <c r="V151" s="6">
        <f t="shared" si="98"/>
        <v>3.5108765747355664E-3</v>
      </c>
      <c r="W151" s="2"/>
      <c r="X151" s="7">
        <f t="shared" si="99"/>
        <v>-7045.59</v>
      </c>
      <c r="Y151" s="2"/>
      <c r="Z151" s="6">
        <f t="shared" si="100"/>
        <v>-0.22715985297910757</v>
      </c>
    </row>
    <row r="152" spans="1:26" s="24" customFormat="1" hidden="1" outlineLevel="2" x14ac:dyDescent="0.25">
      <c r="A152" s="27"/>
      <c r="B152" s="11" t="str">
        <f>CONCATENATE("          ", "6248", " - ", "UNIFORMS")</f>
        <v xml:space="preserve">          6248 - UNIFORMS</v>
      </c>
      <c r="C152" s="11"/>
      <c r="D152" s="7">
        <v>5611.23</v>
      </c>
      <c r="E152" s="2"/>
      <c r="F152" s="6">
        <f t="shared" si="93"/>
        <v>2.2187463419469353E-3</v>
      </c>
      <c r="G152" s="2"/>
      <c r="H152" s="7">
        <v>588</v>
      </c>
      <c r="I152" s="2"/>
      <c r="J152" s="6">
        <f t="shared" si="94"/>
        <v>2.7289004480408999E-4</v>
      </c>
      <c r="K152" s="2"/>
      <c r="L152" s="7">
        <f t="shared" si="95"/>
        <v>5023.2299999999996</v>
      </c>
      <c r="M152" s="2"/>
      <c r="N152" s="6">
        <f t="shared" si="96"/>
        <v>8.5429081632653059</v>
      </c>
      <c r="O152" s="11"/>
      <c r="P152" s="7">
        <v>5611.23</v>
      </c>
      <c r="Q152" s="2"/>
      <c r="R152" s="6">
        <f t="shared" si="97"/>
        <v>7.1287257588221954E-4</v>
      </c>
      <c r="S152" s="2"/>
      <c r="T152" s="7">
        <v>4952</v>
      </c>
      <c r="U152" s="2"/>
      <c r="V152" s="6">
        <f t="shared" si="98"/>
        <v>5.6054490579347837E-4</v>
      </c>
      <c r="W152" s="2"/>
      <c r="X152" s="7">
        <f t="shared" si="99"/>
        <v>659.22999999999956</v>
      </c>
      <c r="Y152" s="2"/>
      <c r="Z152" s="6">
        <f t="shared" si="100"/>
        <v>0.1331239903069466</v>
      </c>
    </row>
    <row r="153" spans="1:26" s="28" customFormat="1" outlineLevel="1" collapsed="1" x14ac:dyDescent="0.25">
      <c r="A153" s="29"/>
      <c r="B153" s="14" t="str">
        <f>CONCATENATE("     ","Telephone/Data Lines                              ")</f>
        <v xml:space="preserve">     Telephone/Data Lines                              </v>
      </c>
      <c r="C153" s="14"/>
      <c r="D153" s="1">
        <f>SUM(OSRRefD22_23x_0)</f>
        <v>4785.75</v>
      </c>
      <c r="E153" s="1"/>
      <c r="F153" s="5">
        <f t="shared" ref="F153:F155" si="101">IF(D$12=0,0,D153/D$12)</f>
        <v>1.8923418405541292E-3</v>
      </c>
      <c r="G153" s="1"/>
      <c r="H153" s="1">
        <f>SUM(OSRRefH22_23x_0)</f>
        <v>3699</v>
      </c>
      <c r="I153" s="1"/>
      <c r="J153" s="5">
        <f t="shared" ref="J153:J155" si="102">IF(H$12=0,0,H153/H$12)</f>
        <v>1.7167011492012396E-3</v>
      </c>
      <c r="K153" s="1"/>
      <c r="L153" s="1">
        <f t="shared" ref="L153:L155" si="103">+D153-H153</f>
        <v>1086.75</v>
      </c>
      <c r="M153" s="1"/>
      <c r="N153" s="5">
        <f t="shared" ref="N153:N155" si="104">IF(H153=0,0,L153/H153)</f>
        <v>0.29379562043795621</v>
      </c>
      <c r="O153" s="14"/>
      <c r="P153" s="1">
        <f>SUM(OSRRefP22_23x_0)</f>
        <v>15007.85</v>
      </c>
      <c r="Q153" s="1"/>
      <c r="R153" s="5">
        <f t="shared" ref="R153:R155" si="105">IF(P$12=0,0,P153/P$12)</f>
        <v>1.9066558825701263E-3</v>
      </c>
      <c r="S153" s="1"/>
      <c r="T153" s="1">
        <f>SUM(OSRRefT22_23x_0)</f>
        <v>14846</v>
      </c>
      <c r="U153" s="1"/>
      <c r="V153" s="5">
        <f t="shared" ref="V153:V155" si="106">IF(T$12=0,0,T153/T$12)</f>
        <v>1.6805027607855372E-3</v>
      </c>
      <c r="W153" s="1"/>
      <c r="X153" s="1">
        <f t="shared" ref="X153:X155" si="107">+P153-T153</f>
        <v>161.85000000000036</v>
      </c>
      <c r="Y153" s="1"/>
      <c r="Z153" s="5">
        <f t="shared" ref="Z153:Z155" si="108">IF(T153=0,0,X153/T153)</f>
        <v>1.090192644483365E-2</v>
      </c>
    </row>
    <row r="154" spans="1:26" s="24" customFormat="1" hidden="1" outlineLevel="2" x14ac:dyDescent="0.25">
      <c r="A154" s="27"/>
      <c r="B154" s="11" t="str">
        <f>CONCATENATE("          ", "6303", " - ", "DATA PHONE LINES")</f>
        <v xml:space="preserve">          6303 - DATA PHONE LINES</v>
      </c>
      <c r="C154" s="11"/>
      <c r="D154" s="7"/>
      <c r="E154" s="2"/>
      <c r="F154" s="6">
        <f t="shared" si="101"/>
        <v>0</v>
      </c>
      <c r="G154" s="2"/>
      <c r="H154" s="7">
        <v>243</v>
      </c>
      <c r="I154" s="2"/>
      <c r="J154" s="6">
        <f t="shared" si="102"/>
        <v>1.1277598790373107E-4</v>
      </c>
      <c r="K154" s="2"/>
      <c r="L154" s="7">
        <f t="shared" si="103"/>
        <v>-243</v>
      </c>
      <c r="M154" s="2"/>
      <c r="N154" s="6">
        <f t="shared" si="104"/>
        <v>-1</v>
      </c>
      <c r="O154" s="11"/>
      <c r="P154" s="7">
        <v>295</v>
      </c>
      <c r="Q154" s="2"/>
      <c r="R154" s="6">
        <f t="shared" si="105"/>
        <v>3.7477952228879373E-5</v>
      </c>
      <c r="S154" s="2"/>
      <c r="T154" s="7">
        <v>972</v>
      </c>
      <c r="U154" s="2"/>
      <c r="V154" s="6">
        <f t="shared" si="106"/>
        <v>1.100261810240834E-4</v>
      </c>
      <c r="W154" s="2"/>
      <c r="X154" s="7">
        <f t="shared" si="107"/>
        <v>-677</v>
      </c>
      <c r="Y154" s="2"/>
      <c r="Z154" s="6">
        <f t="shared" si="108"/>
        <v>-0.69650205761316875</v>
      </c>
    </row>
    <row r="155" spans="1:26" s="24" customFormat="1" hidden="1" outlineLevel="2" x14ac:dyDescent="0.25">
      <c r="A155" s="27"/>
      <c r="B155" s="11" t="str">
        <f>CONCATENATE("          ", "6309", " - ", "TELEPHONE")</f>
        <v xml:space="preserve">          6309 - TELEPHONE</v>
      </c>
      <c r="C155" s="11"/>
      <c r="D155" s="7">
        <v>4785.75</v>
      </c>
      <c r="E155" s="2"/>
      <c r="F155" s="6">
        <f t="shared" si="101"/>
        <v>1.8923418405541292E-3</v>
      </c>
      <c r="G155" s="2"/>
      <c r="H155" s="7">
        <v>3456</v>
      </c>
      <c r="I155" s="2"/>
      <c r="J155" s="6">
        <f t="shared" si="102"/>
        <v>1.6039251612975085E-3</v>
      </c>
      <c r="K155" s="2"/>
      <c r="L155" s="7">
        <f t="shared" si="103"/>
        <v>1329.75</v>
      </c>
      <c r="M155" s="2"/>
      <c r="N155" s="6">
        <f t="shared" si="104"/>
        <v>0.384765625</v>
      </c>
      <c r="O155" s="11"/>
      <c r="P155" s="7">
        <v>14712.85</v>
      </c>
      <c r="Q155" s="2"/>
      <c r="R155" s="6">
        <f t="shared" si="105"/>
        <v>1.869177930341247E-3</v>
      </c>
      <c r="S155" s="2"/>
      <c r="T155" s="7">
        <v>13874</v>
      </c>
      <c r="U155" s="2"/>
      <c r="V155" s="6">
        <f t="shared" si="106"/>
        <v>1.5704765797614538E-3</v>
      </c>
      <c r="W155" s="2"/>
      <c r="X155" s="7">
        <f t="shared" si="107"/>
        <v>838.85000000000036</v>
      </c>
      <c r="Y155" s="2"/>
      <c r="Z155" s="6">
        <f t="shared" si="108"/>
        <v>6.0462015280380595E-2</v>
      </c>
    </row>
    <row r="156" spans="1:26" s="28" customFormat="1" outlineLevel="1" collapsed="1" x14ac:dyDescent="0.25">
      <c r="A156" s="29"/>
      <c r="B156" s="14" t="str">
        <f>CONCATENATE("     ","Training                                          ")</f>
        <v xml:space="preserve">     Training                                          </v>
      </c>
      <c r="C156" s="14"/>
      <c r="D156" s="1">
        <f>SUM(OSRRefD22_24x_0)</f>
        <v>2000</v>
      </c>
      <c r="E156" s="1"/>
      <c r="F156" s="5">
        <f t="shared" ref="F156:F161" si="109">IF(D$12=0,0,D156/D$12)</f>
        <v>7.9082352423512684E-4</v>
      </c>
      <c r="G156" s="1"/>
      <c r="H156" s="1">
        <f>SUM(OSRRefH22_24x_0)</f>
        <v>640</v>
      </c>
      <c r="I156" s="1"/>
      <c r="J156" s="5">
        <f t="shared" ref="J156:J161" si="110">IF(H$12=0,0,H156/H$12)</f>
        <v>2.9702317801805716E-4</v>
      </c>
      <c r="K156" s="1"/>
      <c r="L156" s="1">
        <f t="shared" ref="L156:L161" si="111">+D156-H156</f>
        <v>1360</v>
      </c>
      <c r="M156" s="1"/>
      <c r="N156" s="5">
        <f t="shared" ref="N156:N161" si="112">IF(H156=0,0,L156/H156)</f>
        <v>2.125</v>
      </c>
      <c r="O156" s="14"/>
      <c r="P156" s="1">
        <f>SUM(OSRRefP22_24x_0)</f>
        <v>2595</v>
      </c>
      <c r="Q156" s="1"/>
      <c r="R156" s="5">
        <f t="shared" ref="R156:R161" si="113">IF(P$12=0,0,P156/P$12)</f>
        <v>3.2967893570827787E-4</v>
      </c>
      <c r="S156" s="1"/>
      <c r="T156" s="1">
        <f>SUM(OSRRefT22_24x_0)</f>
        <v>3435</v>
      </c>
      <c r="U156" s="1"/>
      <c r="V156" s="5">
        <f t="shared" ref="V156:V161" si="114">IF(T$12=0,0,T156/T$12)</f>
        <v>3.8882709034745522E-4</v>
      </c>
      <c r="W156" s="1"/>
      <c r="X156" s="1">
        <f t="shared" ref="X156:X161" si="115">+P156-T156</f>
        <v>-840</v>
      </c>
      <c r="Y156" s="1"/>
      <c r="Z156" s="5">
        <f t="shared" ref="Z156:Z161" si="116">IF(T156=0,0,X156/T156)</f>
        <v>-0.24454148471615719</v>
      </c>
    </row>
    <row r="157" spans="1:26" s="24" customFormat="1" hidden="1" outlineLevel="2" x14ac:dyDescent="0.25">
      <c r="A157" s="27"/>
      <c r="B157" s="11" t="str">
        <f>CONCATENATE("          ", "6376", " - ", "TRAINING")</f>
        <v xml:space="preserve">          6376 - TRAINING</v>
      </c>
      <c r="C157" s="11"/>
      <c r="D157" s="7">
        <v>2000</v>
      </c>
      <c r="E157" s="2"/>
      <c r="F157" s="6">
        <f t="shared" si="109"/>
        <v>7.9082352423512684E-4</v>
      </c>
      <c r="G157" s="2"/>
      <c r="H157" s="7">
        <v>640</v>
      </c>
      <c r="I157" s="2"/>
      <c r="J157" s="6">
        <f t="shared" si="110"/>
        <v>2.9702317801805716E-4</v>
      </c>
      <c r="K157" s="2"/>
      <c r="L157" s="7">
        <f t="shared" si="111"/>
        <v>1360</v>
      </c>
      <c r="M157" s="2"/>
      <c r="N157" s="6">
        <f t="shared" si="112"/>
        <v>2.125</v>
      </c>
      <c r="O157" s="11"/>
      <c r="P157" s="7">
        <v>2595</v>
      </c>
      <c r="Q157" s="2"/>
      <c r="R157" s="6">
        <f t="shared" si="113"/>
        <v>3.2967893570827787E-4</v>
      </c>
      <c r="S157" s="2"/>
      <c r="T157" s="7">
        <v>3435</v>
      </c>
      <c r="U157" s="2"/>
      <c r="V157" s="6">
        <f t="shared" si="114"/>
        <v>3.8882709034745522E-4</v>
      </c>
      <c r="W157" s="2"/>
      <c r="X157" s="7">
        <f t="shared" si="115"/>
        <v>-840</v>
      </c>
      <c r="Y157" s="2"/>
      <c r="Z157" s="6">
        <f t="shared" si="116"/>
        <v>-0.24454148471615719</v>
      </c>
    </row>
    <row r="158" spans="1:26" s="28" customFormat="1" outlineLevel="1" collapsed="1" x14ac:dyDescent="0.25">
      <c r="A158" s="29"/>
      <c r="B158" s="14" t="str">
        <f>CONCATENATE("     ","Travel                                            ")</f>
        <v xml:space="preserve">     Travel                                            </v>
      </c>
      <c r="C158" s="14"/>
      <c r="D158" s="1">
        <f>SUM(OSRRefD22_25x_0)</f>
        <v>50</v>
      </c>
      <c r="E158" s="1"/>
      <c r="F158" s="5">
        <f t="shared" si="109"/>
        <v>1.9770588105878174E-5</v>
      </c>
      <c r="G158" s="1"/>
      <c r="H158" s="1">
        <f>SUM(OSRRefH22_25x_0)</f>
        <v>175</v>
      </c>
      <c r="I158" s="1"/>
      <c r="J158" s="5">
        <f t="shared" si="110"/>
        <v>8.1217275239312507E-5</v>
      </c>
      <c r="K158" s="1"/>
      <c r="L158" s="1">
        <f t="shared" si="111"/>
        <v>-125</v>
      </c>
      <c r="M158" s="1"/>
      <c r="N158" s="5">
        <f t="shared" si="112"/>
        <v>-0.7142857142857143</v>
      </c>
      <c r="O158" s="14"/>
      <c r="P158" s="1">
        <f>SUM(OSRRefP22_25x_0)</f>
        <v>1459.55</v>
      </c>
      <c r="Q158" s="1"/>
      <c r="R158" s="5">
        <f t="shared" si="113"/>
        <v>1.8542693279885046E-4</v>
      </c>
      <c r="S158" s="1"/>
      <c r="T158" s="1">
        <f>SUM(OSRRefT22_25x_0)</f>
        <v>700</v>
      </c>
      <c r="U158" s="1"/>
      <c r="V158" s="5">
        <f t="shared" si="114"/>
        <v>7.9236961642858414E-5</v>
      </c>
      <c r="W158" s="1"/>
      <c r="X158" s="1">
        <f t="shared" si="115"/>
        <v>759.55</v>
      </c>
      <c r="Y158" s="1"/>
      <c r="Z158" s="5">
        <f t="shared" si="116"/>
        <v>1.0850714285714285</v>
      </c>
    </row>
    <row r="159" spans="1:26" s="24" customFormat="1" hidden="1" outlineLevel="2" x14ac:dyDescent="0.25">
      <c r="A159" s="27"/>
      <c r="B159" s="11" t="str">
        <f>CONCATENATE("          ", "6292", " - ", "TRAVEL/CONFERENCE")</f>
        <v xml:space="preserve">          6292 - TRAVEL/CONFERENCE</v>
      </c>
      <c r="C159" s="11"/>
      <c r="D159" s="7"/>
      <c r="E159" s="2"/>
      <c r="F159" s="6">
        <f t="shared" si="109"/>
        <v>0</v>
      </c>
      <c r="G159" s="2"/>
      <c r="H159" s="7">
        <v>125</v>
      </c>
      <c r="I159" s="2"/>
      <c r="J159" s="6">
        <f t="shared" si="110"/>
        <v>5.8012339456651786E-5</v>
      </c>
      <c r="K159" s="2"/>
      <c r="L159" s="7">
        <f t="shared" si="111"/>
        <v>-125</v>
      </c>
      <c r="M159" s="2"/>
      <c r="N159" s="6">
        <f t="shared" si="112"/>
        <v>-1</v>
      </c>
      <c r="O159" s="11"/>
      <c r="P159" s="7">
        <v>1090</v>
      </c>
      <c r="Q159" s="2"/>
      <c r="R159" s="6">
        <f t="shared" si="113"/>
        <v>1.3847785738806275E-4</v>
      </c>
      <c r="S159" s="2"/>
      <c r="T159" s="7">
        <v>500</v>
      </c>
      <c r="U159" s="2"/>
      <c r="V159" s="6">
        <f t="shared" si="114"/>
        <v>5.6597829744898868E-5</v>
      </c>
      <c r="W159" s="2"/>
      <c r="X159" s="7">
        <f t="shared" si="115"/>
        <v>590</v>
      </c>
      <c r="Y159" s="2"/>
      <c r="Z159" s="6">
        <f t="shared" si="116"/>
        <v>1.18</v>
      </c>
    </row>
    <row r="160" spans="1:26" s="24" customFormat="1" hidden="1" outlineLevel="2" x14ac:dyDescent="0.25">
      <c r="A160" s="27"/>
      <c r="B160" s="11" t="str">
        <f>CONCATENATE("          ", "6294", " - ", "TRAVEL OPERATIONAL")</f>
        <v xml:space="preserve">          6294 - TRAVEL OPERATIONAL</v>
      </c>
      <c r="C160" s="11"/>
      <c r="D160" s="7"/>
      <c r="E160" s="2"/>
      <c r="F160" s="6">
        <f t="shared" si="109"/>
        <v>0</v>
      </c>
      <c r="G160" s="2"/>
      <c r="H160" s="7">
        <v>25</v>
      </c>
      <c r="I160" s="2"/>
      <c r="J160" s="6">
        <f t="shared" si="110"/>
        <v>1.1602467891330357E-5</v>
      </c>
      <c r="K160" s="2"/>
      <c r="L160" s="7">
        <f t="shared" si="111"/>
        <v>-25</v>
      </c>
      <c r="M160" s="2"/>
      <c r="N160" s="6">
        <f t="shared" si="112"/>
        <v>-1</v>
      </c>
      <c r="O160" s="11"/>
      <c r="P160" s="7">
        <v>215.53</v>
      </c>
      <c r="Q160" s="2"/>
      <c r="R160" s="6">
        <f t="shared" si="113"/>
        <v>2.7381773030136852E-5</v>
      </c>
      <c r="S160" s="2"/>
      <c r="T160" s="7">
        <v>100</v>
      </c>
      <c r="U160" s="2"/>
      <c r="V160" s="6">
        <f t="shared" si="114"/>
        <v>1.1319565948979773E-5</v>
      </c>
      <c r="W160" s="2"/>
      <c r="X160" s="7">
        <f t="shared" si="115"/>
        <v>115.53</v>
      </c>
      <c r="Y160" s="2"/>
      <c r="Z160" s="6">
        <f t="shared" si="116"/>
        <v>1.1553</v>
      </c>
    </row>
    <row r="161" spans="1:26" s="24" customFormat="1" hidden="1" outlineLevel="2" x14ac:dyDescent="0.25">
      <c r="A161" s="27"/>
      <c r="B161" s="11" t="str">
        <f>CONCATENATE("          ", "6298", " - ", "VEHICLE MILEAGE")</f>
        <v xml:space="preserve">          6298 - VEHICLE MILEAGE</v>
      </c>
      <c r="C161" s="11"/>
      <c r="D161" s="7">
        <v>50</v>
      </c>
      <c r="E161" s="2"/>
      <c r="F161" s="6">
        <f t="shared" si="109"/>
        <v>1.9770588105878174E-5</v>
      </c>
      <c r="G161" s="2"/>
      <c r="H161" s="7">
        <v>25</v>
      </c>
      <c r="I161" s="2"/>
      <c r="J161" s="6">
        <f t="shared" si="110"/>
        <v>1.1602467891330357E-5</v>
      </c>
      <c r="K161" s="2"/>
      <c r="L161" s="7">
        <f t="shared" si="111"/>
        <v>25</v>
      </c>
      <c r="M161" s="2"/>
      <c r="N161" s="6">
        <f t="shared" si="112"/>
        <v>1</v>
      </c>
      <c r="O161" s="11"/>
      <c r="P161" s="7">
        <v>154.02000000000001</v>
      </c>
      <c r="Q161" s="2"/>
      <c r="R161" s="6">
        <f t="shared" si="113"/>
        <v>1.956730238065085E-5</v>
      </c>
      <c r="S161" s="2"/>
      <c r="T161" s="7">
        <v>100</v>
      </c>
      <c r="U161" s="2"/>
      <c r="V161" s="6">
        <f t="shared" si="114"/>
        <v>1.1319565948979773E-5</v>
      </c>
      <c r="W161" s="2"/>
      <c r="X161" s="7">
        <f t="shared" si="115"/>
        <v>54.02000000000001</v>
      </c>
      <c r="Y161" s="2"/>
      <c r="Z161" s="6">
        <f t="shared" si="116"/>
        <v>0.54020000000000012</v>
      </c>
    </row>
    <row r="162" spans="1:26" s="28" customFormat="1" outlineLevel="1" collapsed="1" x14ac:dyDescent="0.25">
      <c r="A162" s="29"/>
      <c r="B162" s="14" t="str">
        <f>CONCATENATE("     ","Utilities                                         ")</f>
        <v xml:space="preserve">     Utilities                                         </v>
      </c>
      <c r="C162" s="14"/>
      <c r="D162" s="1">
        <f>SUM(OSRRefD22_26x_0)</f>
        <v>11888.6</v>
      </c>
      <c r="E162" s="1"/>
      <c r="F162" s="5">
        <f t="shared" ref="F162:F163" si="117">IF(D$12=0,0,D162/D$12)</f>
        <v>4.7008922751108646E-3</v>
      </c>
      <c r="G162" s="1"/>
      <c r="H162" s="1">
        <f>SUM(OSRRefH22_26x_0)</f>
        <v>14787</v>
      </c>
      <c r="I162" s="1"/>
      <c r="J162" s="5">
        <f t="shared" ref="J162:J163" si="118">IF(H$12=0,0,H162/H$12)</f>
        <v>6.8626277083640797E-3</v>
      </c>
      <c r="K162" s="1"/>
      <c r="L162" s="1">
        <f t="shared" ref="L162:L163" si="119">+D162-H162</f>
        <v>-2898.3999999999996</v>
      </c>
      <c r="M162" s="1"/>
      <c r="N162" s="5">
        <f t="shared" ref="N162:N163" si="120">IF(H162=0,0,L162/H162)</f>
        <v>-0.19601000879150604</v>
      </c>
      <c r="O162" s="14"/>
      <c r="P162" s="1">
        <f>SUM(OSRRefP22_26x_0)</f>
        <v>54749.98</v>
      </c>
      <c r="Q162" s="1"/>
      <c r="R162" s="5">
        <f t="shared" ref="R162:R163" si="121">IF(P$12=0,0,P162/P$12)</f>
        <v>6.9556513049901731E-3</v>
      </c>
      <c r="S162" s="1"/>
      <c r="T162" s="1">
        <f>SUM(OSRRefT22_26x_0)</f>
        <v>59148</v>
      </c>
      <c r="U162" s="1"/>
      <c r="V162" s="5">
        <f t="shared" ref="V162:V163" si="122">IF(T$12=0,0,T162/T$12)</f>
        <v>6.6952968675025567E-3</v>
      </c>
      <c r="W162" s="1"/>
      <c r="X162" s="1">
        <f t="shared" ref="X162:X163" si="123">+P162-T162</f>
        <v>-4398.0199999999968</v>
      </c>
      <c r="Y162" s="1"/>
      <c r="Z162" s="5">
        <f t="shared" ref="Z162:Z163" si="124">IF(T162=0,0,X162/T162)</f>
        <v>-7.4356191249070072E-2</v>
      </c>
    </row>
    <row r="163" spans="1:26" s="24" customFormat="1" hidden="1" outlineLevel="2" x14ac:dyDescent="0.25">
      <c r="A163" s="27"/>
      <c r="B163" s="11" t="str">
        <f>CONCATENATE("          ", "6274", " - ", "UTILITIES")</f>
        <v xml:space="preserve">          6274 - UTILITIES</v>
      </c>
      <c r="C163" s="11"/>
      <c r="D163" s="7">
        <v>11888.6</v>
      </c>
      <c r="E163" s="2"/>
      <c r="F163" s="6">
        <f t="shared" si="117"/>
        <v>4.7008922751108646E-3</v>
      </c>
      <c r="G163" s="2"/>
      <c r="H163" s="7">
        <v>14787</v>
      </c>
      <c r="I163" s="2"/>
      <c r="J163" s="6">
        <f t="shared" si="118"/>
        <v>6.8626277083640797E-3</v>
      </c>
      <c r="K163" s="2"/>
      <c r="L163" s="7">
        <f t="shared" si="119"/>
        <v>-2898.3999999999996</v>
      </c>
      <c r="M163" s="2"/>
      <c r="N163" s="6">
        <f t="shared" si="120"/>
        <v>-0.19601000879150604</v>
      </c>
      <c r="O163" s="11"/>
      <c r="P163" s="7">
        <v>54749.98</v>
      </c>
      <c r="Q163" s="2"/>
      <c r="R163" s="6">
        <f t="shared" si="121"/>
        <v>6.9556513049901731E-3</v>
      </c>
      <c r="S163" s="2"/>
      <c r="T163" s="7">
        <v>59148</v>
      </c>
      <c r="U163" s="2"/>
      <c r="V163" s="6">
        <f t="shared" si="122"/>
        <v>6.6952968675025567E-3</v>
      </c>
      <c r="W163" s="2"/>
      <c r="X163" s="7">
        <f t="shared" si="123"/>
        <v>-4398.0199999999968</v>
      </c>
      <c r="Y163" s="2"/>
      <c r="Z163" s="6">
        <f t="shared" si="124"/>
        <v>-7.4356191249070072E-2</v>
      </c>
    </row>
    <row r="164" spans="1:26" s="60" customFormat="1" x14ac:dyDescent="0.25">
      <c r="A164" s="36"/>
      <c r="B164" s="36"/>
      <c r="C164" s="36"/>
      <c r="D164" s="1"/>
      <c r="E164" s="1"/>
      <c r="F164" s="5"/>
      <c r="G164" s="1"/>
      <c r="H164" s="1"/>
      <c r="I164" s="1"/>
      <c r="J164" s="5"/>
      <c r="K164" s="1"/>
      <c r="L164" s="1"/>
      <c r="M164" s="1"/>
      <c r="N164" s="5"/>
      <c r="O164" s="36"/>
      <c r="P164" s="1"/>
      <c r="Q164" s="1"/>
      <c r="R164" s="5"/>
      <c r="S164" s="1"/>
      <c r="T164" s="1"/>
      <c r="U164" s="1"/>
      <c r="V164" s="5"/>
      <c r="W164" s="1"/>
      <c r="X164" s="1"/>
      <c r="Y164" s="1"/>
      <c r="Z164" s="5"/>
    </row>
    <row r="165" spans="1:26" s="23" customFormat="1" collapsed="1" x14ac:dyDescent="0.25">
      <c r="A165" s="10"/>
      <c r="B165" s="25" t="s">
        <v>293</v>
      </c>
      <c r="C165" s="10"/>
      <c r="D165" s="4">
        <f>SUM(OSRRefD25x_0)</f>
        <v>46304.480000000003</v>
      </c>
      <c r="E165" s="4"/>
      <c r="F165" s="12">
        <f t="shared" ref="F165:F173" si="125">IF(D$12=0,0,D165/D$12)</f>
        <v>1.8309336030737474E-2</v>
      </c>
      <c r="G165" s="4"/>
      <c r="H165" s="4">
        <f>SUM(OSRRefH25x_0)</f>
        <v>32962</v>
      </c>
      <c r="I165" s="4"/>
      <c r="J165" s="12">
        <f t="shared" ref="J165:J173" si="126">IF(H$12=0,0,H165/H$12)</f>
        <v>1.5297621865361251E-2</v>
      </c>
      <c r="K165" s="4"/>
      <c r="L165" s="4">
        <f t="shared" ref="L165:L173" si="127">+D165-H165</f>
        <v>13342.480000000003</v>
      </c>
      <c r="M165" s="4"/>
      <c r="N165" s="12">
        <f t="shared" ref="N165:N173" si="128">IF(H165=0,0,L165/H165)</f>
        <v>0.40478369031005412</v>
      </c>
      <c r="O165" s="10"/>
      <c r="P165" s="4">
        <f>SUM(OSRRefP25x_0)</f>
        <v>431849.81999999995</v>
      </c>
      <c r="Q165" s="4"/>
      <c r="R165" s="12">
        <f t="shared" ref="R165:R173" si="129">IF(P$12=0,0,P165/P$12)</f>
        <v>5.486388787800052E-2</v>
      </c>
      <c r="S165" s="4"/>
      <c r="T165" s="4">
        <f>SUM(OSRRefT25x_0)</f>
        <v>304941.5</v>
      </c>
      <c r="U165" s="4"/>
      <c r="V165" s="12">
        <f t="shared" ref="V165:V173" si="130">IF(T$12=0,0,T165/T$12)</f>
        <v>3.4518054198308154E-2</v>
      </c>
      <c r="W165" s="4"/>
      <c r="X165" s="4">
        <f t="shared" ref="X165:X173" si="131">+P165-T165</f>
        <v>126908.31999999995</v>
      </c>
      <c r="Y165" s="4"/>
      <c r="Z165" s="12">
        <f t="shared" ref="Z165:Z173" si="132">IF(T165=0,0,X165/T165)</f>
        <v>0.41617267574272426</v>
      </c>
    </row>
    <row r="166" spans="1:26" s="24" customFormat="1" hidden="1" outlineLevel="1" x14ac:dyDescent="0.25">
      <c r="A166" s="44"/>
      <c r="B166" s="11" t="str">
        <f>CONCATENATE("          ", "4187", " - ", "NON-TAXABLE SALES-COMPUTER REP")</f>
        <v xml:space="preserve">          4187 - NON-TAXABLE SALES-COMPUTER REP</v>
      </c>
      <c r="C166" s="11"/>
      <c r="D166" s="2">
        <f>0</f>
        <v>0</v>
      </c>
      <c r="E166" s="2"/>
      <c r="F166" s="19">
        <f t="shared" si="125"/>
        <v>0</v>
      </c>
      <c r="G166" s="2"/>
      <c r="H166" s="2"/>
      <c r="I166" s="2"/>
      <c r="J166" s="19">
        <f t="shared" si="126"/>
        <v>0</v>
      </c>
      <c r="K166" s="2"/>
      <c r="L166" s="2">
        <f t="shared" si="127"/>
        <v>0</v>
      </c>
      <c r="M166" s="2"/>
      <c r="N166" s="19">
        <f t="shared" si="128"/>
        <v>0</v>
      </c>
      <c r="O166" s="11"/>
      <c r="P166" s="2">
        <f>0</f>
        <v>0</v>
      </c>
      <c r="Q166" s="2"/>
      <c r="R166" s="19">
        <f t="shared" si="129"/>
        <v>0</v>
      </c>
      <c r="S166" s="2"/>
      <c r="T166" s="2"/>
      <c r="U166" s="2"/>
      <c r="V166" s="19">
        <f t="shared" si="130"/>
        <v>0</v>
      </c>
      <c r="W166" s="2"/>
      <c r="X166" s="2">
        <f t="shared" si="131"/>
        <v>0</v>
      </c>
      <c r="Y166" s="2"/>
      <c r="Z166" s="19">
        <f t="shared" si="132"/>
        <v>0</v>
      </c>
    </row>
    <row r="167" spans="1:26" s="24" customFormat="1" hidden="1" outlineLevel="1" x14ac:dyDescent="0.25">
      <c r="A167" s="44"/>
      <c r="B167" s="11" t="str">
        <f>CONCATENATE("          ", "9087", " - ", "")</f>
        <v xml:space="preserve">          9087 - </v>
      </c>
      <c r="C167" s="11"/>
      <c r="D167" s="2">
        <f>-830.04</f>
        <v>-830.04</v>
      </c>
      <c r="E167" s="2"/>
      <c r="F167" s="19">
        <f t="shared" si="125"/>
        <v>-3.2820757902806232E-4</v>
      </c>
      <c r="G167" s="2"/>
      <c r="H167" s="2"/>
      <c r="I167" s="2"/>
      <c r="J167" s="19">
        <f t="shared" si="126"/>
        <v>0</v>
      </c>
      <c r="K167" s="2"/>
      <c r="L167" s="2">
        <f t="shared" si="127"/>
        <v>-830.04</v>
      </c>
      <c r="M167" s="2"/>
      <c r="N167" s="19">
        <f t="shared" si="128"/>
        <v>0</v>
      </c>
      <c r="O167" s="11"/>
      <c r="P167" s="2">
        <f>-466.39</f>
        <v>-466.39</v>
      </c>
      <c r="Q167" s="2"/>
      <c r="R167" s="19">
        <f t="shared" si="129"/>
        <v>-5.9252007254328981E-5</v>
      </c>
      <c r="S167" s="2"/>
      <c r="T167" s="2"/>
      <c r="U167" s="2"/>
      <c r="V167" s="19">
        <f t="shared" si="130"/>
        <v>0</v>
      </c>
      <c r="W167" s="2"/>
      <c r="X167" s="2">
        <f t="shared" si="131"/>
        <v>-466.39</v>
      </c>
      <c r="Y167" s="2"/>
      <c r="Z167" s="19">
        <f t="shared" si="132"/>
        <v>0</v>
      </c>
    </row>
    <row r="168" spans="1:26" s="24" customFormat="1" hidden="1" outlineLevel="1" x14ac:dyDescent="0.25">
      <c r="A168" s="44"/>
      <c r="B168" s="11" t="str">
        <f>CONCATENATE("          ", "9150", " - ", "MISC. INCOME")</f>
        <v xml:space="preserve">          9150 - MISC. INCOME</v>
      </c>
      <c r="C168" s="11"/>
      <c r="D168" s="2">
        <f>--37140.26</f>
        <v>37140.26</v>
      </c>
      <c r="E168" s="2"/>
      <c r="F168" s="19">
        <f t="shared" si="125"/>
        <v>1.4685695652104458E-2</v>
      </c>
      <c r="G168" s="2"/>
      <c r="H168" s="2">
        <v>32962</v>
      </c>
      <c r="I168" s="2"/>
      <c r="J168" s="19">
        <f t="shared" si="126"/>
        <v>1.5297621865361251E-2</v>
      </c>
      <c r="K168" s="2"/>
      <c r="L168" s="2">
        <f t="shared" si="127"/>
        <v>4178.260000000002</v>
      </c>
      <c r="M168" s="2"/>
      <c r="N168" s="19">
        <f t="shared" si="128"/>
        <v>0.12675990534554948</v>
      </c>
      <c r="O168" s="11"/>
      <c r="P168" s="2">
        <f>--188909.24</f>
        <v>188909.24</v>
      </c>
      <c r="Q168" s="2"/>
      <c r="R168" s="19">
        <f t="shared" si="129"/>
        <v>2.3999767702759009E-2</v>
      </c>
      <c r="S168" s="2"/>
      <c r="T168" s="2">
        <v>99961</v>
      </c>
      <c r="U168" s="2"/>
      <c r="V168" s="19">
        <f t="shared" si="130"/>
        <v>1.1315151318259671E-2</v>
      </c>
      <c r="W168" s="2"/>
      <c r="X168" s="2">
        <f t="shared" si="131"/>
        <v>88948.239999999991</v>
      </c>
      <c r="Y168" s="2"/>
      <c r="Z168" s="19">
        <f t="shared" si="132"/>
        <v>0.88982943347905674</v>
      </c>
    </row>
    <row r="169" spans="1:26" s="24" customFormat="1" hidden="1" outlineLevel="1" x14ac:dyDescent="0.25">
      <c r="A169" s="44"/>
      <c r="B169" s="11" t="str">
        <f>CONCATENATE("          ", "9151", " - ", "MISC. INCOME")</f>
        <v xml:space="preserve">          9151 - MISC. INCOME</v>
      </c>
      <c r="C169" s="11"/>
      <c r="D169" s="2">
        <f>0</f>
        <v>0</v>
      </c>
      <c r="E169" s="2"/>
      <c r="F169" s="19">
        <f t="shared" si="125"/>
        <v>0</v>
      </c>
      <c r="G169" s="2"/>
      <c r="H169" s="2"/>
      <c r="I169" s="2"/>
      <c r="J169" s="19">
        <f t="shared" si="126"/>
        <v>0</v>
      </c>
      <c r="K169" s="2"/>
      <c r="L169" s="2">
        <f t="shared" si="127"/>
        <v>0</v>
      </c>
      <c r="M169" s="2"/>
      <c r="N169" s="19">
        <f t="shared" si="128"/>
        <v>0</v>
      </c>
      <c r="O169" s="11"/>
      <c r="P169" s="2">
        <f>--168463.36</f>
        <v>168463.35999999999</v>
      </c>
      <c r="Q169" s="2"/>
      <c r="R169" s="19">
        <f t="shared" si="129"/>
        <v>2.140224324880172E-2</v>
      </c>
      <c r="S169" s="2"/>
      <c r="T169" s="2">
        <v>204980.5</v>
      </c>
      <c r="U169" s="2"/>
      <c r="V169" s="19">
        <f t="shared" si="130"/>
        <v>2.3202902880048483E-2</v>
      </c>
      <c r="W169" s="2"/>
      <c r="X169" s="2">
        <f t="shared" si="131"/>
        <v>-36517.140000000014</v>
      </c>
      <c r="Y169" s="2"/>
      <c r="Z169" s="19">
        <f t="shared" si="132"/>
        <v>-0.17814933615636616</v>
      </c>
    </row>
    <row r="170" spans="1:26" s="24" customFormat="1" hidden="1" outlineLevel="1" x14ac:dyDescent="0.25">
      <c r="A170" s="44"/>
      <c r="B170" s="11" t="str">
        <f>CONCATENATE("          ", "9152", " - ", "MISC. INCOME")</f>
        <v xml:space="preserve">          9152 - MISC. INCOME</v>
      </c>
      <c r="C170" s="11"/>
      <c r="D170" s="2">
        <f>--257.3</f>
        <v>257.3</v>
      </c>
      <c r="E170" s="2"/>
      <c r="F170" s="19">
        <f t="shared" si="125"/>
        <v>1.0173944639284907E-4</v>
      </c>
      <c r="G170" s="2"/>
      <c r="H170" s="2"/>
      <c r="I170" s="2"/>
      <c r="J170" s="19">
        <f t="shared" si="126"/>
        <v>0</v>
      </c>
      <c r="K170" s="2"/>
      <c r="L170" s="2">
        <f t="shared" si="127"/>
        <v>257.3</v>
      </c>
      <c r="M170" s="2"/>
      <c r="N170" s="19">
        <f t="shared" si="128"/>
        <v>0</v>
      </c>
      <c r="O170" s="11"/>
      <c r="P170" s="2">
        <f>--2195.41</f>
        <v>2195.41</v>
      </c>
      <c r="Q170" s="2"/>
      <c r="R170" s="19">
        <f t="shared" si="129"/>
        <v>2.7891346136543749E-4</v>
      </c>
      <c r="S170" s="2"/>
      <c r="T170" s="2"/>
      <c r="U170" s="2"/>
      <c r="V170" s="19">
        <f t="shared" si="130"/>
        <v>0</v>
      </c>
      <c r="W170" s="2"/>
      <c r="X170" s="2">
        <f t="shared" si="131"/>
        <v>2195.41</v>
      </c>
      <c r="Y170" s="2"/>
      <c r="Z170" s="19">
        <f t="shared" si="132"/>
        <v>0</v>
      </c>
    </row>
    <row r="171" spans="1:26" s="24" customFormat="1" hidden="1" outlineLevel="1" x14ac:dyDescent="0.25">
      <c r="A171" s="44"/>
      <c r="B171" s="11" t="str">
        <f>CONCATENATE("          ", "9160", " - ", "MISC. INCOME")</f>
        <v xml:space="preserve">          9160 - MISC. INCOME</v>
      </c>
      <c r="C171" s="11"/>
      <c r="D171" s="2">
        <f>0</f>
        <v>0</v>
      </c>
      <c r="E171" s="2"/>
      <c r="F171" s="19">
        <f t="shared" si="125"/>
        <v>0</v>
      </c>
      <c r="G171" s="2"/>
      <c r="H171" s="2">
        <v>0</v>
      </c>
      <c r="I171" s="2"/>
      <c r="J171" s="19">
        <f t="shared" si="126"/>
        <v>0</v>
      </c>
      <c r="K171" s="2"/>
      <c r="L171" s="2">
        <f t="shared" si="127"/>
        <v>0</v>
      </c>
      <c r="M171" s="2"/>
      <c r="N171" s="19">
        <f t="shared" si="128"/>
        <v>0</v>
      </c>
      <c r="O171" s="11"/>
      <c r="P171" s="2">
        <f>0</f>
        <v>0</v>
      </c>
      <c r="Q171" s="2"/>
      <c r="R171" s="19">
        <f t="shared" si="129"/>
        <v>0</v>
      </c>
      <c r="S171" s="2"/>
      <c r="T171" s="2">
        <v>0</v>
      </c>
      <c r="U171" s="2"/>
      <c r="V171" s="19">
        <f t="shared" si="130"/>
        <v>0</v>
      </c>
      <c r="W171" s="2"/>
      <c r="X171" s="2">
        <f t="shared" si="131"/>
        <v>0</v>
      </c>
      <c r="Y171" s="2"/>
      <c r="Z171" s="19">
        <f t="shared" si="132"/>
        <v>0</v>
      </c>
    </row>
    <row r="172" spans="1:26" s="24" customFormat="1" hidden="1" outlineLevel="1" x14ac:dyDescent="0.25">
      <c r="A172" s="44"/>
      <c r="B172" s="11" t="str">
        <f>CONCATENATE("          ", "9163", " - ", "MISC. INCOME")</f>
        <v xml:space="preserve">          9163 - MISC. INCOME</v>
      </c>
      <c r="C172" s="11"/>
      <c r="D172" s="2">
        <f>--9736.96</f>
        <v>9736.9599999999991</v>
      </c>
      <c r="E172" s="2"/>
      <c r="F172" s="19">
        <f t="shared" si="125"/>
        <v>3.8501085112682301E-3</v>
      </c>
      <c r="G172" s="2"/>
      <c r="H172" s="2"/>
      <c r="I172" s="2"/>
      <c r="J172" s="19">
        <f t="shared" si="126"/>
        <v>0</v>
      </c>
      <c r="K172" s="2"/>
      <c r="L172" s="2">
        <f t="shared" si="127"/>
        <v>9736.9599999999991</v>
      </c>
      <c r="M172" s="2"/>
      <c r="N172" s="19">
        <f t="shared" si="128"/>
        <v>0</v>
      </c>
      <c r="O172" s="11"/>
      <c r="P172" s="2">
        <f>--72748.2</f>
        <v>72748.2</v>
      </c>
      <c r="Q172" s="2"/>
      <c r="R172" s="19">
        <f t="shared" si="129"/>
        <v>9.2422154723286847E-3</v>
      </c>
      <c r="S172" s="2"/>
      <c r="T172" s="2"/>
      <c r="U172" s="2"/>
      <c r="V172" s="19">
        <f t="shared" si="130"/>
        <v>0</v>
      </c>
      <c r="W172" s="2"/>
      <c r="X172" s="2">
        <f t="shared" si="131"/>
        <v>72748.2</v>
      </c>
      <c r="Y172" s="2"/>
      <c r="Z172" s="19">
        <f t="shared" si="132"/>
        <v>0</v>
      </c>
    </row>
    <row r="173" spans="1:26" s="24" customFormat="1" hidden="1" outlineLevel="1" x14ac:dyDescent="0.25">
      <c r="A173" s="44"/>
      <c r="B173" s="11" t="str">
        <f>CONCATENATE("          ", "9165", " - ", "OTHER INCOME")</f>
        <v xml:space="preserve">          9165 - OTHER INCOME</v>
      </c>
      <c r="C173" s="11"/>
      <c r="D173" s="2">
        <f>0</f>
        <v>0</v>
      </c>
      <c r="E173" s="2"/>
      <c r="F173" s="19">
        <f t="shared" si="125"/>
        <v>0</v>
      </c>
      <c r="G173" s="2"/>
      <c r="H173" s="2"/>
      <c r="I173" s="2"/>
      <c r="J173" s="19">
        <f t="shared" si="126"/>
        <v>0</v>
      </c>
      <c r="K173" s="2"/>
      <c r="L173" s="2">
        <f t="shared" si="127"/>
        <v>0</v>
      </c>
      <c r="M173" s="2"/>
      <c r="N173" s="19">
        <f t="shared" si="128"/>
        <v>0</v>
      </c>
      <c r="O173" s="11"/>
      <c r="P173" s="2">
        <f>0</f>
        <v>0</v>
      </c>
      <c r="Q173" s="2"/>
      <c r="R173" s="19">
        <f t="shared" si="129"/>
        <v>0</v>
      </c>
      <c r="S173" s="2"/>
      <c r="T173" s="2"/>
      <c r="U173" s="2"/>
      <c r="V173" s="19">
        <f t="shared" si="130"/>
        <v>0</v>
      </c>
      <c r="W173" s="2"/>
      <c r="X173" s="2">
        <f t="shared" si="131"/>
        <v>0</v>
      </c>
      <c r="Y173" s="2"/>
      <c r="Z173" s="19">
        <f t="shared" si="132"/>
        <v>0</v>
      </c>
    </row>
    <row r="174" spans="1:26" x14ac:dyDescent="0.25">
      <c r="A174" s="9"/>
      <c r="B174" s="10"/>
      <c r="C174" s="10"/>
      <c r="D174" s="3"/>
      <c r="E174" s="3"/>
      <c r="F174" s="8"/>
      <c r="G174" s="3"/>
      <c r="H174" s="3"/>
      <c r="I174" s="3"/>
      <c r="J174" s="8"/>
      <c r="K174" s="3"/>
      <c r="L174" s="3"/>
      <c r="M174" s="3"/>
      <c r="N174" s="8"/>
      <c r="O174" s="10"/>
      <c r="P174" s="3"/>
      <c r="Q174" s="3"/>
      <c r="R174" s="8"/>
      <c r="S174" s="3"/>
      <c r="T174" s="3"/>
      <c r="U174" s="3"/>
      <c r="V174" s="8"/>
      <c r="W174" s="3"/>
      <c r="X174" s="3"/>
      <c r="Y174" s="3"/>
      <c r="Z174" s="8"/>
    </row>
    <row r="175" spans="1:26" s="23" customFormat="1" x14ac:dyDescent="0.25">
      <c r="A175" s="10"/>
      <c r="B175" s="26" t="s">
        <v>277</v>
      </c>
      <c r="C175" s="26"/>
      <c r="D175" s="21">
        <f>+D62-D64+D165</f>
        <v>233738.15999999971</v>
      </c>
      <c r="E175" s="13"/>
      <c r="F175" s="20">
        <f>IF(D$12=0,0,D175/D$12)</f>
        <v>9.2422817719716874E-2</v>
      </c>
      <c r="G175" s="13"/>
      <c r="H175" s="21">
        <f>+H62-H64+H165</f>
        <v>116793.0760865882</v>
      </c>
      <c r="I175" s="13"/>
      <c r="J175" s="20">
        <f>IF(H$12=0,0,H175/H$12)</f>
        <v>5.4203516608973719E-2</v>
      </c>
      <c r="K175" s="15"/>
      <c r="L175" s="21">
        <f>+D175-H175</f>
        <v>116945.08391341151</v>
      </c>
      <c r="M175" s="15"/>
      <c r="N175" s="20">
        <f>IF(H175=0,0,L175/H175)</f>
        <v>1.0013015140273436</v>
      </c>
      <c r="O175" s="25"/>
      <c r="P175" s="21">
        <f>+P62-P64+P165</f>
        <v>519712.05000000226</v>
      </c>
      <c r="Q175" s="13"/>
      <c r="R175" s="20">
        <f>IF(P$12=0,0,P175/P$12)</f>
        <v>6.6026248754823907E-2</v>
      </c>
      <c r="S175" s="13"/>
      <c r="T175" s="21">
        <f>+T62-T64+T165</f>
        <v>-106326.04534602631</v>
      </c>
      <c r="U175" s="13"/>
      <c r="V175" s="20">
        <f>IF(T$12=0,0,T175/T$12)</f>
        <v>-1.2035646823885587E-2</v>
      </c>
      <c r="W175" s="15"/>
      <c r="X175" s="21">
        <f>+P175-T175</f>
        <v>626038.09534602857</v>
      </c>
      <c r="Y175" s="15"/>
      <c r="Z175" s="20">
        <f>IF(T175=0,0,X175/T175)</f>
        <v>-5.8879091506568981</v>
      </c>
    </row>
    <row r="176" spans="1:26" x14ac:dyDescent="0.25">
      <c r="A176" s="9"/>
      <c r="B176" s="10"/>
      <c r="C176" s="9"/>
      <c r="D176" s="3"/>
      <c r="E176" s="3"/>
      <c r="F176" s="8"/>
      <c r="G176" s="3"/>
      <c r="H176" s="3"/>
      <c r="I176" s="3"/>
      <c r="J176" s="8"/>
      <c r="K176" s="3"/>
      <c r="L176" s="3"/>
      <c r="M176" s="3"/>
      <c r="N176" s="8"/>
      <c r="P176" s="3"/>
      <c r="Q176" s="3"/>
      <c r="R176" s="8"/>
      <c r="S176" s="3"/>
      <c r="T176" s="3"/>
      <c r="U176" s="3"/>
      <c r="V176" s="8"/>
      <c r="W176" s="3"/>
      <c r="X176" s="3"/>
      <c r="Y176" s="3"/>
      <c r="Z176" s="8"/>
    </row>
    <row r="177" spans="1:26" s="23" customFormat="1" x14ac:dyDescent="0.25">
      <c r="A177" s="52"/>
      <c r="B177" s="10" t="s">
        <v>128</v>
      </c>
      <c r="C177" s="10"/>
      <c r="D177" s="4">
        <v>248611.92</v>
      </c>
      <c r="E177" s="4"/>
      <c r="F177" s="12">
        <f>IF(D$12=0,0,D177/D$12)</f>
        <v>9.8304077370630724E-2</v>
      </c>
      <c r="G177" s="4"/>
      <c r="H177" s="4">
        <v>290561</v>
      </c>
      <c r="I177" s="4"/>
      <c r="J177" s="12">
        <f>IF(H$12=0,0,H177/H$12)</f>
        <v>0.13484898691891359</v>
      </c>
      <c r="K177" s="4"/>
      <c r="L177" s="4">
        <f>+D177-H177</f>
        <v>-41949.079999999987</v>
      </c>
      <c r="M177" s="4"/>
      <c r="N177" s="12">
        <f>IF(H177=0,0,L177/H177)</f>
        <v>-0.14437271347496736</v>
      </c>
      <c r="O177" s="10"/>
      <c r="P177" s="4">
        <v>909856.62</v>
      </c>
      <c r="Q177" s="4"/>
      <c r="R177" s="12">
        <f>IF(P$12=0,0,P177/P$12)</f>
        <v>0.11559173877793102</v>
      </c>
      <c r="S177" s="4"/>
      <c r="T177" s="4">
        <v>1015856</v>
      </c>
      <c r="U177" s="4"/>
      <c r="V177" s="12">
        <f>IF(T$12=0,0,T177/T$12)</f>
        <v>0.11499048986666796</v>
      </c>
      <c r="W177" s="4"/>
      <c r="X177" s="4">
        <f>+P177-T177</f>
        <v>-105999.38</v>
      </c>
      <c r="Y177" s="4"/>
      <c r="Z177" s="12">
        <f>IF(T177=0,0,X177/T177)</f>
        <v>-0.10434488746436503</v>
      </c>
    </row>
    <row r="178" spans="1:26" x14ac:dyDescent="0.25">
      <c r="A178" s="9"/>
      <c r="B178" s="10"/>
      <c r="C178" s="10"/>
      <c r="D178" s="3"/>
      <c r="E178" s="3"/>
      <c r="F178" s="8"/>
      <c r="G178" s="3"/>
      <c r="H178" s="3"/>
      <c r="I178" s="3"/>
      <c r="J178" s="8"/>
      <c r="K178" s="3"/>
      <c r="L178" s="3"/>
      <c r="M178" s="3"/>
      <c r="N178" s="8"/>
      <c r="O178" s="10"/>
      <c r="P178" s="3"/>
      <c r="Q178" s="3"/>
      <c r="R178" s="8"/>
      <c r="S178" s="3"/>
      <c r="T178" s="3"/>
      <c r="U178" s="3"/>
      <c r="V178" s="8"/>
      <c r="W178" s="3"/>
      <c r="X178" s="3"/>
      <c r="Y178" s="3"/>
      <c r="Z178" s="8"/>
    </row>
    <row r="179" spans="1:26" s="23" customFormat="1" ht="15.75" thickBot="1" x14ac:dyDescent="0.3">
      <c r="A179" s="10"/>
      <c r="B179" s="26" t="s">
        <v>126</v>
      </c>
      <c r="C179" s="26"/>
      <c r="D179" s="31">
        <f>+D175-D177</f>
        <v>-14873.7600000003</v>
      </c>
      <c r="E179" s="13"/>
      <c r="F179" s="33">
        <f>IF(D$12=0,0,D179/D$12)</f>
        <v>-5.8812596509138495E-3</v>
      </c>
      <c r="G179" s="13"/>
      <c r="H179" s="31">
        <f>+H175-H177</f>
        <v>-173767.9239134118</v>
      </c>
      <c r="I179" s="13"/>
      <c r="J179" s="33">
        <f>IF(H$12=0,0,H179/H$12)</f>
        <v>-8.0645470309939876E-2</v>
      </c>
      <c r="K179" s="15"/>
      <c r="L179" s="31">
        <f>D179-H179</f>
        <v>158894.1639134115</v>
      </c>
      <c r="M179" s="15"/>
      <c r="N179" s="33">
        <f>IF(H179=0,0,L179/H179)</f>
        <v>-0.9144044558683232</v>
      </c>
      <c r="O179" s="25"/>
      <c r="P179" s="31">
        <f>+P175-P177</f>
        <v>-390144.56999999774</v>
      </c>
      <c r="Q179" s="13"/>
      <c r="R179" s="33">
        <f>IF(P$12=0,0,P179/P$12)</f>
        <v>-4.9565490023107117E-2</v>
      </c>
      <c r="S179" s="13"/>
      <c r="T179" s="31">
        <f>+T175-T177</f>
        <v>-1122182.0453460263</v>
      </c>
      <c r="U179" s="13"/>
      <c r="V179" s="33">
        <f>IF(T$12=0,0,T179/T$12)</f>
        <v>-0.12702613669055354</v>
      </c>
      <c r="W179" s="15"/>
      <c r="X179" s="31">
        <f>P179-T179</f>
        <v>732037.47534602857</v>
      </c>
      <c r="Y179" s="15"/>
      <c r="Z179" s="33">
        <f>IF(T179=0,0,X179/T179)</f>
        <v>-0.65233397591948095</v>
      </c>
    </row>
    <row r="180" spans="1:26" ht="15.75" thickTop="1" x14ac:dyDescent="0.25">
      <c r="A180" s="9"/>
      <c r="B180" s="9"/>
      <c r="C180" s="9"/>
      <c r="D180" s="3"/>
      <c r="E180" s="3"/>
      <c r="F180" s="8"/>
      <c r="G180" s="3"/>
      <c r="H180" s="3"/>
      <c r="I180" s="3"/>
      <c r="J180" s="8"/>
      <c r="K180" s="3"/>
      <c r="L180" s="3"/>
      <c r="M180" s="3"/>
      <c r="N180" s="8"/>
      <c r="P180" s="3"/>
      <c r="Q180" s="3"/>
      <c r="R180" s="8"/>
      <c r="S180" s="3"/>
      <c r="T180" s="3"/>
      <c r="U180" s="3"/>
      <c r="V180" s="8"/>
      <c r="W180" s="3"/>
      <c r="X180" s="3"/>
      <c r="Y180" s="3"/>
      <c r="Z180" s="8"/>
    </row>
    <row r="181" spans="1:26" s="23" customFormat="1" x14ac:dyDescent="0.25">
      <c r="A181" s="52"/>
      <c r="B181" s="10" t="s">
        <v>184</v>
      </c>
      <c r="C181" s="10"/>
      <c r="D181" s="4">
        <f>--337591.35</f>
        <v>337591.35</v>
      </c>
      <c r="E181" s="4"/>
      <c r="F181" s="12">
        <f t="shared" ref="F181:F182" si="133">IF(D$12=0,0,D181/D$12)</f>
        <v>0.13348759057914708</v>
      </c>
      <c r="G181" s="4"/>
      <c r="H181" s="4">
        <f t="shared" ref="H181:H182" si="134">--15000</f>
        <v>15000</v>
      </c>
      <c r="I181" s="4"/>
      <c r="J181" s="12">
        <f t="shared" ref="J181:J182" si="135">IF(H$12=0,0,H181/H$12)</f>
        <v>6.9614807347982144E-3</v>
      </c>
      <c r="K181" s="4"/>
      <c r="L181" s="4">
        <f t="shared" ref="L181:L182" si="136">+D181-H181</f>
        <v>322591.34999999998</v>
      </c>
      <c r="M181" s="4"/>
      <c r="N181" s="12">
        <f t="shared" ref="N181:N182" si="137">IF(H181=0,0,L181/H181)</f>
        <v>21.506089999999997</v>
      </c>
      <c r="O181" s="10"/>
      <c r="P181" s="4">
        <f>--117981.78</f>
        <v>117981.78</v>
      </c>
      <c r="Q181" s="4"/>
      <c r="R181" s="12">
        <f t="shared" ref="R181:R182" si="138">IF(P$12=0,0,P181/P$12)</f>
        <v>1.4988866151586969E-2</v>
      </c>
      <c r="S181" s="4"/>
      <c r="T181" s="4">
        <f>--60000</f>
        <v>60000</v>
      </c>
      <c r="U181" s="4"/>
      <c r="V181" s="12">
        <f t="shared" ref="V181:V182" si="139">IF(T$12=0,0,T181/T$12)</f>
        <v>6.7917395693878639E-3</v>
      </c>
      <c r="W181" s="4"/>
      <c r="X181" s="4">
        <f t="shared" ref="X181:X182" si="140">+P181-T181</f>
        <v>57981.78</v>
      </c>
      <c r="Y181" s="4"/>
      <c r="Z181" s="12">
        <f t="shared" ref="Z181:Z182" si="141">IF(T181=0,0,X181/T181)</f>
        <v>0.96636299999999997</v>
      </c>
    </row>
    <row r="182" spans="1:26" s="23" customFormat="1" x14ac:dyDescent="0.25">
      <c r="A182" s="52"/>
      <c r="B182" s="10" t="s">
        <v>82</v>
      </c>
      <c r="C182" s="10"/>
      <c r="D182" s="4">
        <f>--10527.25</f>
        <v>10527.25</v>
      </c>
      <c r="E182" s="4"/>
      <c r="F182" s="12">
        <f t="shared" si="133"/>
        <v>4.1625984727521196E-3</v>
      </c>
      <c r="G182" s="4"/>
      <c r="H182" s="4">
        <f t="shared" si="134"/>
        <v>15000</v>
      </c>
      <c r="I182" s="4"/>
      <c r="J182" s="12">
        <f t="shared" si="135"/>
        <v>6.9614807347982144E-3</v>
      </c>
      <c r="K182" s="4"/>
      <c r="L182" s="4">
        <f t="shared" si="136"/>
        <v>-4472.75</v>
      </c>
      <c r="M182" s="4"/>
      <c r="N182" s="12">
        <f t="shared" si="137"/>
        <v>-0.29818333333333336</v>
      </c>
      <c r="O182" s="10"/>
      <c r="P182" s="4">
        <f>--47856.03</f>
        <v>47856.03</v>
      </c>
      <c r="Q182" s="4"/>
      <c r="R182" s="12">
        <f t="shared" si="138"/>
        <v>6.0798169701824336E-3</v>
      </c>
      <c r="S182" s="4"/>
      <c r="T182" s="4">
        <f>--65000</f>
        <v>65000</v>
      </c>
      <c r="U182" s="4"/>
      <c r="V182" s="12">
        <f t="shared" si="139"/>
        <v>7.3577178668368529E-3</v>
      </c>
      <c r="W182" s="4"/>
      <c r="X182" s="4">
        <f t="shared" si="140"/>
        <v>-17143.97</v>
      </c>
      <c r="Y182" s="4"/>
      <c r="Z182" s="12">
        <f t="shared" si="141"/>
        <v>-0.26375338461538461</v>
      </c>
    </row>
    <row r="183" spans="1:26" x14ac:dyDescent="0.25">
      <c r="A183" s="9"/>
      <c r="B183" s="9"/>
      <c r="C183" s="9"/>
      <c r="D183" s="3"/>
      <c r="E183" s="3"/>
      <c r="F183" s="8"/>
      <c r="G183" s="3"/>
      <c r="H183" s="3"/>
      <c r="I183" s="3"/>
      <c r="J183" s="8"/>
      <c r="K183" s="3"/>
      <c r="L183" s="3"/>
      <c r="M183" s="3"/>
      <c r="N183" s="8"/>
      <c r="P183" s="3"/>
      <c r="Q183" s="3"/>
      <c r="R183" s="8"/>
      <c r="S183" s="3"/>
      <c r="T183" s="3"/>
      <c r="U183" s="3"/>
      <c r="V183" s="8"/>
      <c r="W183" s="3"/>
      <c r="X183" s="3"/>
      <c r="Y183" s="3"/>
      <c r="Z183" s="8"/>
    </row>
    <row r="184" spans="1:26" s="23" customFormat="1" ht="15.75" thickBot="1" x14ac:dyDescent="0.3">
      <c r="A184" s="10"/>
      <c r="B184" s="26" t="s">
        <v>294</v>
      </c>
      <c r="C184" s="26"/>
      <c r="D184" s="35">
        <f>SUM(D179:D183)</f>
        <v>333244.83999999968</v>
      </c>
      <c r="E184" s="13"/>
      <c r="F184" s="32">
        <f>IF(D$12=0,0,D184/D$12)</f>
        <v>0.13176892940098536</v>
      </c>
      <c r="G184" s="13"/>
      <c r="H184" s="35">
        <f>SUM(H179:H183)</f>
        <v>-143767.9239134118</v>
      </c>
      <c r="I184" s="13"/>
      <c r="J184" s="32">
        <f>IF(H$12=0,0,H184/H$12)</f>
        <v>-6.6722508840343447E-2</v>
      </c>
      <c r="K184" s="15"/>
      <c r="L184" s="35">
        <f>+D184-H184</f>
        <v>477012.76391341147</v>
      </c>
      <c r="M184" s="15"/>
      <c r="N184" s="32">
        <f>IF(H184=0,0,L184/H184)</f>
        <v>-3.3179359548984348</v>
      </c>
      <c r="O184" s="25"/>
      <c r="P184" s="35">
        <f>SUM(P179:P183)</f>
        <v>-224306.75999999771</v>
      </c>
      <c r="Q184" s="13"/>
      <c r="R184" s="32">
        <f>IF(P$12=0,0,P184/P$12)</f>
        <v>-2.8496806901337709E-2</v>
      </c>
      <c r="S184" s="13"/>
      <c r="T184" s="35">
        <f>SUM(T179:T183)</f>
        <v>-997182.04534602631</v>
      </c>
      <c r="U184" s="13"/>
      <c r="V184" s="32">
        <f>IF(T$12=0,0,T184/T$12)</f>
        <v>-0.11287667925432883</v>
      </c>
      <c r="W184" s="15"/>
      <c r="X184" s="35">
        <f>+P184-T184</f>
        <v>772875.28534602863</v>
      </c>
      <c r="Y184" s="15"/>
      <c r="Z184" s="32">
        <f>IF(T184=0,0,X184/T184)</f>
        <v>-0.77505936749777493</v>
      </c>
    </row>
    <row r="185" spans="1:26" ht="15.75" thickTop="1" x14ac:dyDescent="0.25">
      <c r="A185" s="9"/>
      <c r="C185" s="9"/>
      <c r="D185" s="18"/>
      <c r="E185" s="18"/>
      <c r="G185" s="18"/>
      <c r="H185" s="18"/>
      <c r="I185" s="18"/>
      <c r="J185" s="42"/>
      <c r="K185" s="18"/>
      <c r="L185" s="18"/>
      <c r="M185" s="18"/>
      <c r="P185" s="18"/>
      <c r="Q185" s="18"/>
      <c r="R185" s="42"/>
      <c r="S185" s="18"/>
      <c r="T185" s="18"/>
      <c r="U185" s="18"/>
      <c r="V185" s="42"/>
      <c r="W185" s="18"/>
      <c r="X185" s="18"/>
    </row>
    <row r="186" spans="1:26" x14ac:dyDescent="0.25">
      <c r="A186" s="9"/>
      <c r="B186" s="59">
        <v>44517.962841122688</v>
      </c>
      <c r="D186" s="18"/>
      <c r="E186" s="18"/>
      <c r="G186" s="18"/>
      <c r="H186" s="18"/>
      <c r="I186" s="18"/>
      <c r="J186" s="42"/>
      <c r="K186" s="18"/>
      <c r="L186" s="18"/>
      <c r="M186" s="18"/>
      <c r="P186" s="18"/>
      <c r="Q186" s="18"/>
      <c r="R186" s="42"/>
      <c r="S186" s="18"/>
      <c r="T186" s="18"/>
      <c r="U186" s="18"/>
      <c r="V186" s="42"/>
      <c r="W186" s="18"/>
      <c r="X186" s="18"/>
    </row>
    <row r="187" spans="1:26" x14ac:dyDescent="0.25">
      <c r="A187" s="9"/>
      <c r="B187" s="62" t="s">
        <v>56</v>
      </c>
      <c r="D187" s="18"/>
      <c r="E187" s="18"/>
      <c r="G187" s="18"/>
      <c r="H187" s="18"/>
      <c r="I187" s="18"/>
      <c r="J187" s="42"/>
      <c r="K187" s="18"/>
      <c r="L187" s="18"/>
      <c r="M187" s="18"/>
      <c r="P187" s="18"/>
      <c r="Q187" s="18"/>
      <c r="R187" s="42"/>
      <c r="S187" s="18"/>
      <c r="T187" s="18"/>
      <c r="U187" s="18"/>
      <c r="V187" s="42"/>
      <c r="W187" s="18"/>
      <c r="X187" s="18"/>
    </row>
    <row r="188" spans="1:26" x14ac:dyDescent="0.25">
      <c r="A188" s="9"/>
      <c r="B188" s="57"/>
      <c r="D188" s="18"/>
      <c r="E188" s="18"/>
      <c r="G188" s="18"/>
      <c r="H188" s="18"/>
      <c r="I188" s="18"/>
      <c r="J188" s="42"/>
      <c r="K188" s="18"/>
      <c r="L188" s="18"/>
      <c r="M188" s="18"/>
      <c r="P188" s="18"/>
      <c r="Q188" s="18"/>
      <c r="R188" s="42"/>
      <c r="S188" s="18"/>
      <c r="T188" s="18"/>
      <c r="U188" s="18"/>
      <c r="V188" s="42"/>
      <c r="W188" s="18"/>
      <c r="X188" s="18"/>
    </row>
    <row r="189" spans="1:26" x14ac:dyDescent="0.25">
      <c r="D189" s="18"/>
      <c r="E189" s="18"/>
      <c r="G189" s="18"/>
      <c r="H189" s="18"/>
      <c r="I189" s="18"/>
      <c r="J189" s="42"/>
      <c r="K189" s="18"/>
      <c r="L189" s="18"/>
      <c r="M189" s="18"/>
      <c r="P189" s="18"/>
      <c r="Q189" s="18"/>
      <c r="R189" s="42"/>
      <c r="S189" s="18"/>
      <c r="T189" s="18"/>
      <c r="U189" s="18"/>
      <c r="V189" s="42"/>
      <c r="W189" s="18"/>
      <c r="X189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55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106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106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183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183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105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105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219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219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","100", " - ", "Corporate")</f>
        <v>Department 100 - Corporate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SUM(0)</f>
        <v>0</v>
      </c>
      <c r="E18" s="22"/>
      <c r="F18" s="34">
        <f>IF(D$12=0,0,D18/D$12)</f>
        <v>0</v>
      </c>
      <c r="G18" s="22"/>
      <c r="H18" s="22">
        <f>SUM(0)</f>
        <v>0</v>
      </c>
      <c r="I18" s="22"/>
      <c r="J18" s="34">
        <f>IF(H$12=0,0,H18/H$12)</f>
        <v>0</v>
      </c>
      <c r="K18" s="4"/>
      <c r="L18" s="22">
        <f>+D18-H18</f>
        <v>0</v>
      </c>
      <c r="M18" s="4"/>
      <c r="N18" s="34">
        <f>IF(H18=0,0,L18/H18)</f>
        <v>0</v>
      </c>
      <c r="O18" s="10"/>
      <c r="P18" s="22">
        <f>SUM(0)</f>
        <v>0</v>
      </c>
      <c r="Q18" s="22"/>
      <c r="R18" s="34">
        <f>IF(P$12=0,0,P18/P$12)</f>
        <v>0</v>
      </c>
      <c r="S18" s="22"/>
      <c r="T18" s="22">
        <f>SUM(0)</f>
        <v>0</v>
      </c>
      <c r="U18" s="22"/>
      <c r="V18" s="34">
        <f>IF(T$12=0,0,T18/T$12)</f>
        <v>0</v>
      </c>
      <c r="W18" s="4"/>
      <c r="X18" s="22">
        <f>+P18-T18</f>
        <v>0</v>
      </c>
      <c r="Y18" s="4"/>
      <c r="Z18" s="34">
        <f>IF(T18=0,0,X18/T18)</f>
        <v>0</v>
      </c>
    </row>
    <row r="19" spans="1:26" s="60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277</v>
      </c>
      <c r="C22" s="26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5"/>
      <c r="L22" s="21">
        <f>+D22-H22</f>
        <v>0</v>
      </c>
      <c r="M22" s="15"/>
      <c r="N22" s="20">
        <f>IF(H22=0,0,L22/H22)</f>
        <v>0</v>
      </c>
      <c r="O22" s="25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5"/>
      <c r="X22" s="21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126</v>
      </c>
      <c r="C26" s="26"/>
      <c r="D26" s="31">
        <f>+D22-D24</f>
        <v>0</v>
      </c>
      <c r="E26" s="13"/>
      <c r="F26" s="33">
        <f>IF(D$12=0,0,D26/D$12)</f>
        <v>0</v>
      </c>
      <c r="G26" s="13"/>
      <c r="H26" s="31">
        <f>+H22-H24</f>
        <v>0</v>
      </c>
      <c r="I26" s="13"/>
      <c r="J26" s="33">
        <f>IF(H$12=0,0,H26/H$12)</f>
        <v>0</v>
      </c>
      <c r="K26" s="15"/>
      <c r="L26" s="31">
        <f>D26-H26</f>
        <v>0</v>
      </c>
      <c r="M26" s="15"/>
      <c r="N26" s="33">
        <f>IF(H26=0,0,L26/H26)</f>
        <v>0</v>
      </c>
      <c r="O26" s="25"/>
      <c r="P26" s="31">
        <f>+P22-P24</f>
        <v>0</v>
      </c>
      <c r="Q26" s="13"/>
      <c r="R26" s="33">
        <f>IF(P$12=0,0,P26/P$12)</f>
        <v>0</v>
      </c>
      <c r="S26" s="13"/>
      <c r="T26" s="31">
        <f>+T22-T24</f>
        <v>0</v>
      </c>
      <c r="U26" s="13"/>
      <c r="V26" s="33">
        <f>IF(T$12=0,0,T26/T$12)</f>
        <v>0</v>
      </c>
      <c r="W26" s="15"/>
      <c r="X26" s="31">
        <f>P26-T26</f>
        <v>0</v>
      </c>
      <c r="Y26" s="15"/>
      <c r="Z26" s="33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184</v>
      </c>
      <c r="C28" s="10"/>
      <c r="D28" s="4">
        <f>--337591.35</f>
        <v>337591.35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322591.34999999998</v>
      </c>
      <c r="M28" s="4"/>
      <c r="N28" s="12">
        <f t="shared" ref="N28:N29" si="4">IF(H28=0,0,L28/H28)</f>
        <v>21.506089999999997</v>
      </c>
      <c r="O28" s="10"/>
      <c r="P28" s="4">
        <f>--117981.78</f>
        <v>117981.78</v>
      </c>
      <c r="Q28" s="4"/>
      <c r="R28" s="12">
        <f t="shared" ref="R28:R29" si="5">IF(P$12=0,0,P28/P$12)</f>
        <v>0</v>
      </c>
      <c r="S28" s="4"/>
      <c r="T28" s="4">
        <f>--60000</f>
        <v>60000</v>
      </c>
      <c r="U28" s="4"/>
      <c r="V28" s="12">
        <f t="shared" ref="V28:V29" si="6">IF(T$12=0,0,T28/T$12)</f>
        <v>0</v>
      </c>
      <c r="W28" s="4"/>
      <c r="X28" s="4">
        <f t="shared" ref="X28:X29" si="7">+P28-T28</f>
        <v>57981.78</v>
      </c>
      <c r="Y28" s="4"/>
      <c r="Z28" s="12">
        <f t="shared" ref="Z28:Z29" si="8">IF(T28=0,0,X28/T28)</f>
        <v>0.96636299999999997</v>
      </c>
    </row>
    <row r="29" spans="1:26" s="23" customFormat="1" x14ac:dyDescent="0.25">
      <c r="A29" s="52"/>
      <c r="B29" s="10" t="s">
        <v>82</v>
      </c>
      <c r="C29" s="10"/>
      <c r="D29" s="4">
        <f>--10527.25</f>
        <v>10527.25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-4472.75</v>
      </c>
      <c r="M29" s="4"/>
      <c r="N29" s="12">
        <f t="shared" si="4"/>
        <v>-0.29818333333333336</v>
      </c>
      <c r="O29" s="10"/>
      <c r="P29" s="4">
        <f>--47856.03</f>
        <v>47856.03</v>
      </c>
      <c r="Q29" s="4"/>
      <c r="R29" s="12">
        <f t="shared" si="5"/>
        <v>0</v>
      </c>
      <c r="S29" s="4"/>
      <c r="T29" s="4">
        <f>--65000</f>
        <v>65000</v>
      </c>
      <c r="U29" s="4"/>
      <c r="V29" s="12">
        <f t="shared" si="6"/>
        <v>0</v>
      </c>
      <c r="W29" s="4"/>
      <c r="X29" s="4">
        <f t="shared" si="7"/>
        <v>-17143.97</v>
      </c>
      <c r="Y29" s="4"/>
      <c r="Z29" s="12">
        <f t="shared" si="8"/>
        <v>-0.26375338461538461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294</v>
      </c>
      <c r="C31" s="26"/>
      <c r="D31" s="35">
        <f>SUM(D26:D30)</f>
        <v>348118.6</v>
      </c>
      <c r="E31" s="13"/>
      <c r="F31" s="32">
        <f>IF(D$12=0,0,D31/D$12)</f>
        <v>0</v>
      </c>
      <c r="G31" s="13"/>
      <c r="H31" s="35">
        <f>SUM(H26:H30)</f>
        <v>30000</v>
      </c>
      <c r="I31" s="13"/>
      <c r="J31" s="32">
        <f>IF(H$12=0,0,H31/H$12)</f>
        <v>0</v>
      </c>
      <c r="K31" s="15"/>
      <c r="L31" s="35">
        <f>+D31-H31</f>
        <v>318118.59999999998</v>
      </c>
      <c r="M31" s="15"/>
      <c r="N31" s="32">
        <f>IF(H31=0,0,L31/H31)</f>
        <v>10.603953333333333</v>
      </c>
      <c r="O31" s="25"/>
      <c r="P31" s="35">
        <f>SUM(P26:P30)</f>
        <v>165837.81</v>
      </c>
      <c r="Q31" s="13"/>
      <c r="R31" s="32">
        <f>IF(P$12=0,0,P31/P$12)</f>
        <v>0</v>
      </c>
      <c r="S31" s="13"/>
      <c r="T31" s="35">
        <f>SUM(T26:T30)</f>
        <v>125000</v>
      </c>
      <c r="U31" s="13"/>
      <c r="V31" s="32">
        <f>IF(T$12=0,0,T31/T$12)</f>
        <v>0</v>
      </c>
      <c r="W31" s="15"/>
      <c r="X31" s="35">
        <f>+P31-T31</f>
        <v>40837.81</v>
      </c>
      <c r="Y31" s="15"/>
      <c r="Z31" s="32">
        <f>IF(T31=0,0,X31/T31)</f>
        <v>0.32670247999999996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9">
        <v>44517.962875613426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62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7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313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139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248611.91999999993</v>
      </c>
      <c r="E18" s="22"/>
      <c r="F18" s="34">
        <f t="shared" ref="F18:F30" si="0">IF(D$12=0,0,D18/D$12)</f>
        <v>0</v>
      </c>
      <c r="G18" s="22"/>
      <c r="H18" s="22">
        <f>SUM(OSRRefH22x_0)</f>
        <v>290561.68349979992</v>
      </c>
      <c r="I18" s="22"/>
      <c r="J18" s="34">
        <f t="shared" ref="J18:J30" si="1">IF(H$12=0,0,H18/H$12)</f>
        <v>0</v>
      </c>
      <c r="K18" s="4"/>
      <c r="L18" s="22">
        <f t="shared" ref="L18:L30" si="2">+D18-H18</f>
        <v>-41949.763499799999</v>
      </c>
      <c r="M18" s="4"/>
      <c r="N18" s="34">
        <f t="shared" ref="N18:N30" si="3">IF(H18=0,0,L18/H18)</f>
        <v>-0.14437472620105082</v>
      </c>
      <c r="O18" s="10"/>
      <c r="P18" s="22">
        <f>SUM(OSRRefP22x_0)</f>
        <v>909856.62000000011</v>
      </c>
      <c r="Q18" s="22"/>
      <c r="R18" s="34">
        <f t="shared" ref="R18:R30" si="4">IF(P$12=0,0,P18/P$12)</f>
        <v>0</v>
      </c>
      <c r="S18" s="22"/>
      <c r="T18" s="22">
        <f>SUM(OSRRefT22x_0)</f>
        <v>1050859.9821992794</v>
      </c>
      <c r="U18" s="22"/>
      <c r="V18" s="34">
        <f t="shared" ref="V18:V30" si="5">IF(T$12=0,0,T18/T$12)</f>
        <v>0</v>
      </c>
      <c r="W18" s="4"/>
      <c r="X18" s="22">
        <f t="shared" ref="X18:X30" si="6">+P18-T18</f>
        <v>-141003.36219927925</v>
      </c>
      <c r="Y18" s="4"/>
      <c r="Z18" s="34">
        <f t="shared" ref="Z18:Z30" si="7">IF(T18=0,0,X18/T18)</f>
        <v>-0.1341790196484427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92044.4</v>
      </c>
      <c r="E19" s="1"/>
      <c r="F19" s="5">
        <f t="shared" si="0"/>
        <v>0</v>
      </c>
      <c r="G19" s="1"/>
      <c r="H19" s="1">
        <f>SUM(OSRRefH22_0x_0)</f>
        <v>89451.118607492361</v>
      </c>
      <c r="I19" s="1"/>
      <c r="J19" s="5">
        <f t="shared" si="1"/>
        <v>0</v>
      </c>
      <c r="K19" s="1"/>
      <c r="L19" s="1">
        <f t="shared" si="2"/>
        <v>2593.2813925076334</v>
      </c>
      <c r="M19" s="1"/>
      <c r="N19" s="5">
        <f t="shared" si="3"/>
        <v>2.8991044862019446E-2</v>
      </c>
      <c r="O19" s="14"/>
      <c r="P19" s="1">
        <f>SUM(OSRRefP22_0x_0)</f>
        <v>328819.82999999996</v>
      </c>
      <c r="Q19" s="1"/>
      <c r="R19" s="5">
        <f t="shared" si="4"/>
        <v>0</v>
      </c>
      <c r="S19" s="1"/>
      <c r="T19" s="1">
        <f>SUM(OSRRefT22_0x_0)</f>
        <v>344228.14858697238</v>
      </c>
      <c r="U19" s="1"/>
      <c r="V19" s="5">
        <f t="shared" si="5"/>
        <v>0</v>
      </c>
      <c r="W19" s="1"/>
      <c r="X19" s="1">
        <f t="shared" si="6"/>
        <v>-15408.318586972426</v>
      </c>
      <c r="Y19" s="1"/>
      <c r="Z19" s="5">
        <f t="shared" si="7"/>
        <v>-4.4761936669683401E-2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10280.790000000001</v>
      </c>
      <c r="E20" s="2"/>
      <c r="F20" s="6">
        <f t="shared" si="0"/>
        <v>0</v>
      </c>
      <c r="G20" s="2"/>
      <c r="H20" s="7">
        <v>8980.4033131846209</v>
      </c>
      <c r="I20" s="2"/>
      <c r="J20" s="6">
        <f t="shared" si="1"/>
        <v>0</v>
      </c>
      <c r="K20" s="2"/>
      <c r="L20" s="7">
        <f t="shared" si="2"/>
        <v>1300.38668681538</v>
      </c>
      <c r="M20" s="2"/>
      <c r="N20" s="6">
        <f t="shared" si="3"/>
        <v>0.14480270445161536</v>
      </c>
      <c r="O20" s="11"/>
      <c r="P20" s="7">
        <v>32345.279999999999</v>
      </c>
      <c r="Q20" s="2"/>
      <c r="R20" s="6">
        <f t="shared" si="4"/>
        <v>0</v>
      </c>
      <c r="S20" s="2"/>
      <c r="T20" s="7">
        <v>32966.1815274646</v>
      </c>
      <c r="U20" s="2"/>
      <c r="V20" s="6">
        <f t="shared" si="5"/>
        <v>0</v>
      </c>
      <c r="W20" s="2"/>
      <c r="X20" s="7">
        <f t="shared" si="6"/>
        <v>-620.9015274646008</v>
      </c>
      <c r="Y20" s="2"/>
      <c r="Z20" s="6">
        <f t="shared" si="7"/>
        <v>-1.8834499438381083E-2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2173.87</v>
      </c>
      <c r="E21" s="2"/>
      <c r="F21" s="6">
        <f t="shared" si="0"/>
        <v>0</v>
      </c>
      <c r="G21" s="2"/>
      <c r="H21" s="7">
        <v>757.64736369230798</v>
      </c>
      <c r="I21" s="2"/>
      <c r="J21" s="6">
        <f t="shared" si="1"/>
        <v>0</v>
      </c>
      <c r="K21" s="2"/>
      <c r="L21" s="7">
        <f t="shared" si="2"/>
        <v>1416.222636307692</v>
      </c>
      <c r="M21" s="2"/>
      <c r="N21" s="6">
        <f t="shared" si="3"/>
        <v>1.8692371994880213</v>
      </c>
      <c r="O21" s="11"/>
      <c r="P21" s="7">
        <v>6459.38</v>
      </c>
      <c r="Q21" s="2"/>
      <c r="R21" s="6">
        <f t="shared" si="4"/>
        <v>0</v>
      </c>
      <c r="S21" s="2"/>
      <c r="T21" s="7">
        <v>2711.9065092923101</v>
      </c>
      <c r="U21" s="2"/>
      <c r="V21" s="6">
        <f t="shared" si="5"/>
        <v>0</v>
      </c>
      <c r="W21" s="2"/>
      <c r="X21" s="7">
        <f t="shared" si="6"/>
        <v>3747.47349070769</v>
      </c>
      <c r="Y21" s="2"/>
      <c r="Z21" s="6">
        <f t="shared" si="7"/>
        <v>1.3818593959146541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22410.55</v>
      </c>
      <c r="E22" s="2"/>
      <c r="F22" s="6">
        <f t="shared" si="0"/>
        <v>0</v>
      </c>
      <c r="G22" s="2"/>
      <c r="H22" s="7">
        <v>24481.9230769231</v>
      </c>
      <c r="I22" s="2"/>
      <c r="J22" s="6">
        <f t="shared" si="1"/>
        <v>0</v>
      </c>
      <c r="K22" s="2"/>
      <c r="L22" s="7">
        <f t="shared" si="2"/>
        <v>-2071.3730769231006</v>
      </c>
      <c r="M22" s="2"/>
      <c r="N22" s="6">
        <f t="shared" si="3"/>
        <v>-8.4608266695993223E-2</v>
      </c>
      <c r="O22" s="11"/>
      <c r="P22" s="7">
        <v>89975.64</v>
      </c>
      <c r="Q22" s="2"/>
      <c r="R22" s="6">
        <f t="shared" si="4"/>
        <v>0</v>
      </c>
      <c r="S22" s="2"/>
      <c r="T22" s="7">
        <v>94852.923076923107</v>
      </c>
      <c r="U22" s="2"/>
      <c r="V22" s="6">
        <f t="shared" si="5"/>
        <v>0</v>
      </c>
      <c r="W22" s="2"/>
      <c r="X22" s="7">
        <f t="shared" si="6"/>
        <v>-4877.2830769231077</v>
      </c>
      <c r="Y22" s="2"/>
      <c r="Z22" s="6">
        <f t="shared" si="7"/>
        <v>-5.1419428297088593E-2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383.7</v>
      </c>
      <c r="E23" s="2"/>
      <c r="F23" s="6">
        <f t="shared" si="0"/>
        <v>0</v>
      </c>
      <c r="G23" s="2"/>
      <c r="H23" s="7">
        <v>274.77423830769197</v>
      </c>
      <c r="I23" s="2"/>
      <c r="J23" s="6">
        <f t="shared" si="1"/>
        <v>0</v>
      </c>
      <c r="K23" s="2"/>
      <c r="L23" s="7">
        <f t="shared" si="2"/>
        <v>108.92576169230801</v>
      </c>
      <c r="M23" s="2"/>
      <c r="N23" s="6">
        <f t="shared" si="3"/>
        <v>0.39641911979511352</v>
      </c>
      <c r="O23" s="11"/>
      <c r="P23" s="7">
        <v>1137.8</v>
      </c>
      <c r="Q23" s="2"/>
      <c r="R23" s="6">
        <f t="shared" si="4"/>
        <v>0</v>
      </c>
      <c r="S23" s="2"/>
      <c r="T23" s="7">
        <v>978.60325790769195</v>
      </c>
      <c r="U23" s="2"/>
      <c r="V23" s="6">
        <f t="shared" si="5"/>
        <v>0</v>
      </c>
      <c r="W23" s="2"/>
      <c r="X23" s="7">
        <f t="shared" si="6"/>
        <v>159.196742092308</v>
      </c>
      <c r="Y23" s="2"/>
      <c r="Z23" s="6">
        <f t="shared" si="7"/>
        <v>0.16267751083588203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11246.93</v>
      </c>
      <c r="E24" s="2"/>
      <c r="F24" s="6">
        <f t="shared" si="0"/>
        <v>0</v>
      </c>
      <c r="G24" s="2"/>
      <c r="H24" s="7">
        <v>7426.1099230769296</v>
      </c>
      <c r="I24" s="2"/>
      <c r="J24" s="6">
        <f t="shared" si="1"/>
        <v>0</v>
      </c>
      <c r="K24" s="2"/>
      <c r="L24" s="7">
        <f t="shared" si="2"/>
        <v>3820.8200769230707</v>
      </c>
      <c r="M24" s="2"/>
      <c r="N24" s="6">
        <f t="shared" si="3"/>
        <v>0.51451165098562868</v>
      </c>
      <c r="O24" s="11"/>
      <c r="P24" s="7">
        <v>33740.78</v>
      </c>
      <c r="Q24" s="2"/>
      <c r="R24" s="6">
        <f t="shared" si="4"/>
        <v>0</v>
      </c>
      <c r="S24" s="2"/>
      <c r="T24" s="7">
        <v>26733.9957230769</v>
      </c>
      <c r="U24" s="2"/>
      <c r="V24" s="6">
        <f t="shared" si="5"/>
        <v>0</v>
      </c>
      <c r="W24" s="2"/>
      <c r="X24" s="7">
        <f t="shared" si="6"/>
        <v>7006.7842769230992</v>
      </c>
      <c r="Y24" s="2"/>
      <c r="Z24" s="6">
        <f t="shared" si="7"/>
        <v>0.26209266843245632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417</v>
      </c>
      <c r="I25" s="2"/>
      <c r="J25" s="6">
        <f t="shared" si="1"/>
        <v>0</v>
      </c>
      <c r="K25" s="2"/>
      <c r="L25" s="7">
        <f t="shared" si="2"/>
        <v>-417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1668</v>
      </c>
      <c r="U25" s="2"/>
      <c r="V25" s="6">
        <f t="shared" si="5"/>
        <v>0</v>
      </c>
      <c r="W25" s="2"/>
      <c r="X25" s="7">
        <f t="shared" si="6"/>
        <v>-1668</v>
      </c>
      <c r="Y25" s="2"/>
      <c r="Z25" s="6">
        <f t="shared" si="7"/>
        <v>-1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631.9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631.9</v>
      </c>
      <c r="M26" s="2"/>
      <c r="N26" s="6">
        <f t="shared" si="3"/>
        <v>0</v>
      </c>
      <c r="O26" s="11"/>
      <c r="P26" s="7">
        <v>2482.33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2482.33</v>
      </c>
      <c r="Y26" s="2"/>
      <c r="Z26" s="6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7">
        <v>9086.93</v>
      </c>
      <c r="E27" s="2"/>
      <c r="F27" s="6">
        <f t="shared" si="0"/>
        <v>0</v>
      </c>
      <c r="G27" s="2"/>
      <c r="H27" s="7">
        <v>5206.2835692307799</v>
      </c>
      <c r="I27" s="2"/>
      <c r="J27" s="6">
        <f t="shared" si="1"/>
        <v>0</v>
      </c>
      <c r="K27" s="2"/>
      <c r="L27" s="7">
        <f t="shared" si="2"/>
        <v>3880.6464307692204</v>
      </c>
      <c r="M27" s="2"/>
      <c r="N27" s="6">
        <f t="shared" si="3"/>
        <v>0.74537746151667639</v>
      </c>
      <c r="O27" s="11"/>
      <c r="P27" s="7">
        <v>28114.83</v>
      </c>
      <c r="Q27" s="2"/>
      <c r="R27" s="6">
        <f t="shared" si="4"/>
        <v>0</v>
      </c>
      <c r="S27" s="2"/>
      <c r="T27" s="7">
        <v>18742.6208492308</v>
      </c>
      <c r="U27" s="2"/>
      <c r="V27" s="6">
        <f t="shared" si="5"/>
        <v>0</v>
      </c>
      <c r="W27" s="2"/>
      <c r="X27" s="7">
        <f t="shared" si="6"/>
        <v>9372.2091507692021</v>
      </c>
      <c r="Y27" s="2"/>
      <c r="Z27" s="6">
        <f t="shared" si="7"/>
        <v>0.50004795093285148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7">
        <v>6384.72</v>
      </c>
      <c r="E28" s="2"/>
      <c r="F28" s="6">
        <f t="shared" si="0"/>
        <v>0</v>
      </c>
      <c r="G28" s="2"/>
      <c r="H28" s="7">
        <v>4506.9771230769302</v>
      </c>
      <c r="I28" s="2"/>
      <c r="J28" s="6">
        <f t="shared" si="1"/>
        <v>0</v>
      </c>
      <c r="K28" s="2"/>
      <c r="L28" s="7">
        <f t="shared" si="2"/>
        <v>1877.7428769230701</v>
      </c>
      <c r="M28" s="2"/>
      <c r="N28" s="6">
        <f t="shared" si="3"/>
        <v>0.41663022146452078</v>
      </c>
      <c r="O28" s="11"/>
      <c r="P28" s="7">
        <v>19154.16</v>
      </c>
      <c r="Q28" s="2"/>
      <c r="R28" s="6">
        <f t="shared" si="4"/>
        <v>0</v>
      </c>
      <c r="S28" s="2"/>
      <c r="T28" s="7">
        <v>16073.917643077</v>
      </c>
      <c r="U28" s="2"/>
      <c r="V28" s="6">
        <f t="shared" si="5"/>
        <v>0</v>
      </c>
      <c r="W28" s="2"/>
      <c r="X28" s="7">
        <f t="shared" si="6"/>
        <v>3080.2423569229995</v>
      </c>
      <c r="Y28" s="2"/>
      <c r="Z28" s="6">
        <f t="shared" si="7"/>
        <v>0.19162984564933694</v>
      </c>
    </row>
    <row r="29" spans="1:26" s="24" customFormat="1" hidden="1" outlineLevel="2" x14ac:dyDescent="0.25">
      <c r="A29" s="27"/>
      <c r="B29" s="11" t="str">
        <f>CONCATENATE("          ", "6120", " - ", "RETIREES HEALTH INSURANCE")</f>
        <v xml:space="preserve">          6120 - RETIREES HEALTH INSURANCE</v>
      </c>
      <c r="C29" s="11"/>
      <c r="D29" s="7">
        <v>27236.080000000002</v>
      </c>
      <c r="E29" s="2"/>
      <c r="F29" s="6">
        <f t="shared" si="0"/>
        <v>0</v>
      </c>
      <c r="G29" s="2"/>
      <c r="H29" s="7">
        <v>35000</v>
      </c>
      <c r="I29" s="2"/>
      <c r="J29" s="6">
        <f t="shared" si="1"/>
        <v>0</v>
      </c>
      <c r="K29" s="2"/>
      <c r="L29" s="7">
        <f t="shared" si="2"/>
        <v>-7763.9199999999983</v>
      </c>
      <c r="M29" s="2"/>
      <c r="N29" s="6">
        <f t="shared" si="3"/>
        <v>-0.22182628571428567</v>
      </c>
      <c r="O29" s="11"/>
      <c r="P29" s="7">
        <v>109657.26</v>
      </c>
      <c r="Q29" s="2"/>
      <c r="R29" s="6">
        <f t="shared" si="4"/>
        <v>0</v>
      </c>
      <c r="S29" s="2"/>
      <c r="T29" s="7">
        <v>140000</v>
      </c>
      <c r="U29" s="2"/>
      <c r="V29" s="6">
        <f t="shared" si="5"/>
        <v>0</v>
      </c>
      <c r="W29" s="2"/>
      <c r="X29" s="7">
        <f t="shared" si="6"/>
        <v>-30342.740000000005</v>
      </c>
      <c r="Y29" s="2"/>
      <c r="Z29" s="6">
        <f t="shared" si="7"/>
        <v>-0.21673385714285717</v>
      </c>
    </row>
    <row r="30" spans="1:26" s="24" customFormat="1" hidden="1" outlineLevel="2" x14ac:dyDescent="0.25">
      <c r="A30" s="27"/>
      <c r="B30" s="11" t="str">
        <f>CONCATENATE("          ", "6156", " - ", "EMPLOYEE MEALS")</f>
        <v xml:space="preserve">          6156 - EMPLOYEE MEALS</v>
      </c>
      <c r="C30" s="11"/>
      <c r="D30" s="7">
        <v>2208.9299999999998</v>
      </c>
      <c r="E30" s="2"/>
      <c r="F30" s="6">
        <f t="shared" si="0"/>
        <v>0</v>
      </c>
      <c r="G30" s="2"/>
      <c r="H30" s="7">
        <v>2400</v>
      </c>
      <c r="I30" s="2"/>
      <c r="J30" s="6">
        <f t="shared" si="1"/>
        <v>0</v>
      </c>
      <c r="K30" s="2"/>
      <c r="L30" s="7">
        <f t="shared" si="2"/>
        <v>-191.07000000000016</v>
      </c>
      <c r="M30" s="2"/>
      <c r="N30" s="6">
        <f t="shared" si="3"/>
        <v>-7.9612500000000072E-2</v>
      </c>
      <c r="O30" s="11"/>
      <c r="P30" s="7">
        <v>5752.37</v>
      </c>
      <c r="Q30" s="2"/>
      <c r="R30" s="6">
        <f t="shared" si="4"/>
        <v>0</v>
      </c>
      <c r="S30" s="2"/>
      <c r="T30" s="7">
        <v>9500</v>
      </c>
      <c r="U30" s="2"/>
      <c r="V30" s="6">
        <f t="shared" si="5"/>
        <v>0</v>
      </c>
      <c r="W30" s="2"/>
      <c r="X30" s="7">
        <f t="shared" si="6"/>
        <v>-3747.63</v>
      </c>
      <c r="Y30" s="2"/>
      <c r="Z30" s="6">
        <f t="shared" si="7"/>
        <v>-0.39448736842105264</v>
      </c>
    </row>
    <row r="31" spans="1:26" s="28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86103.92</v>
      </c>
      <c r="E31" s="1"/>
      <c r="F31" s="5">
        <f t="shared" ref="F31:F41" si="8">IF(D$12=0,0,D31/D$12)</f>
        <v>0</v>
      </c>
      <c r="G31" s="1"/>
      <c r="H31" s="1">
        <f>SUM(OSRRefH22_1x_0)</f>
        <v>119728.56489230761</v>
      </c>
      <c r="I31" s="1"/>
      <c r="J31" s="5">
        <f t="shared" ref="J31:J41" si="9">IF(H$12=0,0,H31/H$12)</f>
        <v>0</v>
      </c>
      <c r="K31" s="1"/>
      <c r="L31" s="1">
        <f t="shared" ref="L31:L41" si="10">+D31-H31</f>
        <v>-33624.64489230761</v>
      </c>
      <c r="M31" s="1"/>
      <c r="N31" s="5">
        <f t="shared" ref="N31:N41" si="11">IF(H31=0,0,L31/H31)</f>
        <v>-0.28084062414472277</v>
      </c>
      <c r="O31" s="14"/>
      <c r="P31" s="1">
        <f>SUM(OSRRefP22_1x_0)</f>
        <v>377238.39</v>
      </c>
      <c r="Q31" s="1"/>
      <c r="R31" s="5">
        <f t="shared" ref="R31:R41" si="12">IF(P$12=0,0,P31/P$12)</f>
        <v>0</v>
      </c>
      <c r="S31" s="1"/>
      <c r="T31" s="1">
        <f>SUM(OSRRefT22_1x_0)</f>
        <v>425982.83361230697</v>
      </c>
      <c r="U31" s="1"/>
      <c r="V31" s="5">
        <f t="shared" ref="V31:V41" si="13">IF(T$12=0,0,T31/T$12)</f>
        <v>0</v>
      </c>
      <c r="W31" s="1"/>
      <c r="X31" s="1">
        <f t="shared" ref="X31:X41" si="14">+P31-T31</f>
        <v>-48744.443612306961</v>
      </c>
      <c r="Y31" s="1"/>
      <c r="Z31" s="5">
        <f t="shared" ref="Z31:Z41" si="15">IF(T31=0,0,X31/T31)</f>
        <v>-0.11442818763131185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7">
        <v>-902.6</v>
      </c>
      <c r="E32" s="2"/>
      <c r="F32" s="6">
        <f t="shared" si="8"/>
        <v>0</v>
      </c>
      <c r="G32" s="2"/>
      <c r="H32" s="7">
        <v>34866.400000000001</v>
      </c>
      <c r="I32" s="2"/>
      <c r="J32" s="6">
        <f t="shared" si="9"/>
        <v>0</v>
      </c>
      <c r="K32" s="2"/>
      <c r="L32" s="7">
        <f t="shared" si="10"/>
        <v>-35769</v>
      </c>
      <c r="M32" s="2"/>
      <c r="N32" s="6">
        <f t="shared" si="11"/>
        <v>-1.0258873872840326</v>
      </c>
      <c r="O32" s="11"/>
      <c r="P32" s="7">
        <v>71436.86</v>
      </c>
      <c r="Q32" s="2"/>
      <c r="R32" s="6">
        <f t="shared" si="12"/>
        <v>0</v>
      </c>
      <c r="S32" s="2"/>
      <c r="T32" s="7">
        <v>125519.03999999999</v>
      </c>
      <c r="U32" s="2"/>
      <c r="V32" s="6">
        <f t="shared" si="13"/>
        <v>0</v>
      </c>
      <c r="W32" s="2"/>
      <c r="X32" s="7">
        <f t="shared" si="14"/>
        <v>-54082.179999999993</v>
      </c>
      <c r="Y32" s="2"/>
      <c r="Z32" s="6">
        <f t="shared" si="15"/>
        <v>-0.4308683367877893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>
        <v>58316.31</v>
      </c>
      <c r="E33" s="2"/>
      <c r="F33" s="6">
        <f t="shared" si="8"/>
        <v>0</v>
      </c>
      <c r="G33" s="2"/>
      <c r="H33" s="7">
        <v>43959.607692307603</v>
      </c>
      <c r="I33" s="2"/>
      <c r="J33" s="6">
        <f t="shared" si="9"/>
        <v>0</v>
      </c>
      <c r="K33" s="2"/>
      <c r="L33" s="7">
        <f t="shared" si="10"/>
        <v>14356.702307692394</v>
      </c>
      <c r="M33" s="2"/>
      <c r="N33" s="6">
        <f t="shared" si="11"/>
        <v>0.32658849933741885</v>
      </c>
      <c r="O33" s="11"/>
      <c r="P33" s="7">
        <v>206796.18</v>
      </c>
      <c r="Q33" s="2"/>
      <c r="R33" s="6">
        <f t="shared" si="12"/>
        <v>0</v>
      </c>
      <c r="S33" s="2"/>
      <c r="T33" s="7">
        <v>158254.58769230699</v>
      </c>
      <c r="U33" s="2"/>
      <c r="V33" s="6">
        <f t="shared" si="13"/>
        <v>0</v>
      </c>
      <c r="W33" s="2"/>
      <c r="X33" s="7">
        <f t="shared" si="14"/>
        <v>48541.592307693005</v>
      </c>
      <c r="Y33" s="2"/>
      <c r="Z33" s="6">
        <f t="shared" si="15"/>
        <v>0.30673102761527521</v>
      </c>
    </row>
    <row r="34" spans="1:26" s="24" customFormat="1" hidden="1" outlineLevel="2" x14ac:dyDescent="0.25">
      <c r="A34" s="27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7"/>
      <c r="B35" s="11" t="str">
        <f>CONCATENATE("          ", "6004", " - ", "STAFF HOURLY")</f>
        <v xml:space="preserve">          6004 - STAFF HOURLY</v>
      </c>
      <c r="C35" s="11"/>
      <c r="D35" s="7">
        <v>27366.63</v>
      </c>
      <c r="E35" s="2"/>
      <c r="F35" s="6">
        <f t="shared" si="8"/>
        <v>0</v>
      </c>
      <c r="G35" s="2"/>
      <c r="H35" s="7">
        <v>30052.557199999999</v>
      </c>
      <c r="I35" s="2"/>
      <c r="J35" s="6">
        <f t="shared" si="9"/>
        <v>0</v>
      </c>
      <c r="K35" s="2"/>
      <c r="L35" s="7">
        <f t="shared" si="10"/>
        <v>-2685.9271999999983</v>
      </c>
      <c r="M35" s="2"/>
      <c r="N35" s="6">
        <f t="shared" si="11"/>
        <v>-8.9374331180043412E-2</v>
      </c>
      <c r="O35" s="11"/>
      <c r="P35" s="7">
        <v>81884.47</v>
      </c>
      <c r="Q35" s="2"/>
      <c r="R35" s="6">
        <f t="shared" si="12"/>
        <v>0</v>
      </c>
      <c r="S35" s="2"/>
      <c r="T35" s="7">
        <v>108189.20591999999</v>
      </c>
      <c r="U35" s="2"/>
      <c r="V35" s="6">
        <f t="shared" si="13"/>
        <v>0</v>
      </c>
      <c r="W35" s="2"/>
      <c r="X35" s="7">
        <f t="shared" si="14"/>
        <v>-26304.735919999992</v>
      </c>
      <c r="Y35" s="2"/>
      <c r="Z35" s="6">
        <f t="shared" si="15"/>
        <v>-0.24313641731921859</v>
      </c>
    </row>
    <row r="36" spans="1:26" s="24" customFormat="1" hidden="1" outlineLevel="2" x14ac:dyDescent="0.25">
      <c r="A36" s="27"/>
      <c r="B36" s="11" t="str">
        <f>CONCATENATE("          ", "6005", " - ", "TEMPORARY WAGES-HOURLY")</f>
        <v xml:space="preserve">          6005 - TEMPORARY WAGES-HOURLY</v>
      </c>
      <c r="C36" s="11"/>
      <c r="D36" s="7">
        <v>3267.25</v>
      </c>
      <c r="E36" s="2"/>
      <c r="F36" s="6">
        <f t="shared" si="8"/>
        <v>0</v>
      </c>
      <c r="G36" s="2"/>
      <c r="H36" s="7">
        <v>4850</v>
      </c>
      <c r="I36" s="2"/>
      <c r="J36" s="6">
        <f t="shared" si="9"/>
        <v>0</v>
      </c>
      <c r="K36" s="2"/>
      <c r="L36" s="7">
        <f t="shared" si="10"/>
        <v>-1582.75</v>
      </c>
      <c r="M36" s="2"/>
      <c r="N36" s="6">
        <f t="shared" si="11"/>
        <v>-0.32634020618556703</v>
      </c>
      <c r="O36" s="11"/>
      <c r="P36" s="7">
        <v>7881.75</v>
      </c>
      <c r="Q36" s="2"/>
      <c r="R36" s="6">
        <f t="shared" si="12"/>
        <v>0</v>
      </c>
      <c r="S36" s="2"/>
      <c r="T36" s="7">
        <v>17460</v>
      </c>
      <c r="U36" s="2"/>
      <c r="V36" s="6">
        <f t="shared" si="13"/>
        <v>0</v>
      </c>
      <c r="W36" s="2"/>
      <c r="X36" s="7">
        <f t="shared" si="14"/>
        <v>-9578.25</v>
      </c>
      <c r="Y36" s="2"/>
      <c r="Z36" s="6">
        <f t="shared" si="15"/>
        <v>-0.54858247422680417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7">
        <v>-3177.08</v>
      </c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-3177.08</v>
      </c>
      <c r="M38" s="2"/>
      <c r="N38" s="6">
        <f t="shared" si="11"/>
        <v>0</v>
      </c>
      <c r="O38" s="11"/>
      <c r="P38" s="7">
        <v>2030.88</v>
      </c>
      <c r="Q38" s="2"/>
      <c r="R38" s="6">
        <f t="shared" si="12"/>
        <v>0</v>
      </c>
      <c r="S38" s="2"/>
      <c r="T38" s="7">
        <v>8320</v>
      </c>
      <c r="U38" s="2"/>
      <c r="V38" s="6">
        <f t="shared" si="13"/>
        <v>0</v>
      </c>
      <c r="W38" s="2"/>
      <c r="X38" s="7">
        <f t="shared" si="14"/>
        <v>-6289.12</v>
      </c>
      <c r="Y38" s="2"/>
      <c r="Z38" s="6">
        <f t="shared" si="15"/>
        <v>-0.75590384615384609</v>
      </c>
    </row>
    <row r="39" spans="1:26" s="24" customFormat="1" hidden="1" outlineLevel="2" x14ac:dyDescent="0.2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7">
        <v>1233.4100000000001</v>
      </c>
      <c r="E39" s="2"/>
      <c r="F39" s="6">
        <f t="shared" si="8"/>
        <v>0</v>
      </c>
      <c r="G39" s="2"/>
      <c r="H39" s="7">
        <v>6000</v>
      </c>
      <c r="I39" s="2"/>
      <c r="J39" s="6">
        <f t="shared" si="9"/>
        <v>0</v>
      </c>
      <c r="K39" s="2"/>
      <c r="L39" s="7">
        <f t="shared" si="10"/>
        <v>-4766.59</v>
      </c>
      <c r="M39" s="2"/>
      <c r="N39" s="6">
        <f t="shared" si="11"/>
        <v>-0.79443166666666665</v>
      </c>
      <c r="O39" s="11"/>
      <c r="P39" s="7">
        <v>7208.25</v>
      </c>
      <c r="Q39" s="2"/>
      <c r="R39" s="6">
        <f t="shared" si="12"/>
        <v>0</v>
      </c>
      <c r="S39" s="2"/>
      <c r="T39" s="7">
        <v>8240</v>
      </c>
      <c r="U39" s="2"/>
      <c r="V39" s="6">
        <f t="shared" si="13"/>
        <v>0</v>
      </c>
      <c r="W39" s="2"/>
      <c r="X39" s="7">
        <f t="shared" si="14"/>
        <v>-1031.75</v>
      </c>
      <c r="Y39" s="2"/>
      <c r="Z39" s="6">
        <f t="shared" si="15"/>
        <v>-0.12521237864077669</v>
      </c>
    </row>
    <row r="40" spans="1:26" s="24" customFormat="1" hidden="1" outlineLevel="2" x14ac:dyDescent="0.25">
      <c r="A40" s="27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4" customFormat="1" hidden="1" outlineLevel="2" x14ac:dyDescent="0.25">
      <c r="A41" s="27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8"/>
        <v>0</v>
      </c>
      <c r="G41" s="2"/>
      <c r="H41" s="7">
        <v>0</v>
      </c>
      <c r="I41" s="2"/>
      <c r="J41" s="6">
        <f t="shared" si="9"/>
        <v>0</v>
      </c>
      <c r="K41" s="2"/>
      <c r="L41" s="7">
        <f t="shared" si="10"/>
        <v>0</v>
      </c>
      <c r="M41" s="2"/>
      <c r="N41" s="6">
        <f t="shared" si="11"/>
        <v>0</v>
      </c>
      <c r="O41" s="11"/>
      <c r="P41" s="7"/>
      <c r="Q41" s="2"/>
      <c r="R41" s="6">
        <f t="shared" si="12"/>
        <v>0</v>
      </c>
      <c r="S41" s="2"/>
      <c r="T41" s="7">
        <v>0</v>
      </c>
      <c r="U41" s="2"/>
      <c r="V41" s="6">
        <f t="shared" si="13"/>
        <v>0</v>
      </c>
      <c r="W41" s="2"/>
      <c r="X41" s="7">
        <f t="shared" si="14"/>
        <v>0</v>
      </c>
      <c r="Y41" s="2"/>
      <c r="Z41" s="6">
        <f t="shared" si="15"/>
        <v>0</v>
      </c>
    </row>
    <row r="42" spans="1:26" s="28" customFormat="1" outlineLevel="1" collapsed="1" x14ac:dyDescent="0.25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434.18</v>
      </c>
      <c r="E42" s="1"/>
      <c r="F42" s="5">
        <f t="shared" ref="F42:F50" si="16">IF(D$12=0,0,D42/D$12)</f>
        <v>0</v>
      </c>
      <c r="G42" s="1"/>
      <c r="H42" s="1">
        <f>SUM(OSRRefH22_2x_0)</f>
        <v>817</v>
      </c>
      <c r="I42" s="1"/>
      <c r="J42" s="5">
        <f t="shared" ref="J42:J50" si="17">IF(H$12=0,0,H42/H$12)</f>
        <v>0</v>
      </c>
      <c r="K42" s="1"/>
      <c r="L42" s="1">
        <f t="shared" ref="L42:L50" si="18">+D42-H42</f>
        <v>-382.82</v>
      </c>
      <c r="M42" s="1"/>
      <c r="N42" s="5">
        <f t="shared" ref="N42:N50" si="19">IF(H42=0,0,L42/H42)</f>
        <v>-0.46856793145654835</v>
      </c>
      <c r="O42" s="14"/>
      <c r="P42" s="1">
        <f>SUM(OSRRefP22_2x_0)</f>
        <v>1020.62</v>
      </c>
      <c r="Q42" s="1"/>
      <c r="R42" s="5">
        <f t="shared" ref="R42:R50" si="20">IF(P$12=0,0,P42/P$12)</f>
        <v>0</v>
      </c>
      <c r="S42" s="1"/>
      <c r="T42" s="1">
        <f>SUM(OSRRefT22_2x_0)</f>
        <v>2868</v>
      </c>
      <c r="U42" s="1"/>
      <c r="V42" s="5">
        <f t="shared" ref="V42:V50" si="21">IF(T$12=0,0,T42/T$12)</f>
        <v>0</v>
      </c>
      <c r="W42" s="1"/>
      <c r="X42" s="1">
        <f t="shared" ref="X42:X50" si="22">+P42-T42</f>
        <v>-1847.38</v>
      </c>
      <c r="Y42" s="1"/>
      <c r="Z42" s="5">
        <f t="shared" ref="Z42:Z50" si="23">IF(T42=0,0,X42/T42)</f>
        <v>-0.64413528591352864</v>
      </c>
    </row>
    <row r="43" spans="1:26" s="24" customFormat="1" hidden="1" outlineLevel="2" x14ac:dyDescent="0.25">
      <c r="A43" s="27"/>
      <c r="B43" s="11" t="str">
        <f>CONCATENATE("          ", "6362", " - ", "ADVERTISING EXPENSE")</f>
        <v xml:space="preserve">          6362 - ADVERTISING EXPENSE</v>
      </c>
      <c r="C43" s="11"/>
      <c r="D43" s="7">
        <v>434.18</v>
      </c>
      <c r="E43" s="2"/>
      <c r="F43" s="6">
        <f t="shared" si="16"/>
        <v>0</v>
      </c>
      <c r="G43" s="2"/>
      <c r="H43" s="7">
        <v>817</v>
      </c>
      <c r="I43" s="2"/>
      <c r="J43" s="6">
        <f t="shared" si="17"/>
        <v>0</v>
      </c>
      <c r="K43" s="2"/>
      <c r="L43" s="7">
        <f t="shared" si="18"/>
        <v>-382.82</v>
      </c>
      <c r="M43" s="2"/>
      <c r="N43" s="6">
        <f t="shared" si="19"/>
        <v>-0.46856793145654835</v>
      </c>
      <c r="O43" s="11"/>
      <c r="P43" s="7">
        <v>1020.62</v>
      </c>
      <c r="Q43" s="2"/>
      <c r="R43" s="6">
        <f t="shared" si="20"/>
        <v>0</v>
      </c>
      <c r="S43" s="2"/>
      <c r="T43" s="7">
        <v>2868</v>
      </c>
      <c r="U43" s="2"/>
      <c r="V43" s="6">
        <f t="shared" si="21"/>
        <v>0</v>
      </c>
      <c r="W43" s="2"/>
      <c r="X43" s="7">
        <f t="shared" si="22"/>
        <v>-1847.38</v>
      </c>
      <c r="Y43" s="2"/>
      <c r="Z43" s="6">
        <f t="shared" si="23"/>
        <v>-0.64413528591352864</v>
      </c>
    </row>
    <row r="44" spans="1:26" s="28" customFormat="1" outlineLevel="1" collapsed="1" x14ac:dyDescent="0.25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3111.94</v>
      </c>
      <c r="E44" s="1"/>
      <c r="F44" s="5">
        <f t="shared" si="16"/>
        <v>0</v>
      </c>
      <c r="G44" s="1"/>
      <c r="H44" s="1">
        <f>SUM(OSRRefH22_3x_0)</f>
        <v>10000</v>
      </c>
      <c r="I44" s="1"/>
      <c r="J44" s="5">
        <f t="shared" si="17"/>
        <v>0</v>
      </c>
      <c r="K44" s="1"/>
      <c r="L44" s="1">
        <f t="shared" si="18"/>
        <v>-6888.0599999999995</v>
      </c>
      <c r="M44" s="1"/>
      <c r="N44" s="5">
        <f t="shared" si="19"/>
        <v>-0.68880599999999992</v>
      </c>
      <c r="O44" s="14"/>
      <c r="P44" s="1">
        <f>SUM(OSRRefP22_3x_0)</f>
        <v>5475.8</v>
      </c>
      <c r="Q44" s="1"/>
      <c r="R44" s="5">
        <f t="shared" si="20"/>
        <v>0</v>
      </c>
      <c r="S44" s="1"/>
      <c r="T44" s="1">
        <f>SUM(OSRRefT22_3x_0)</f>
        <v>15000</v>
      </c>
      <c r="U44" s="1"/>
      <c r="V44" s="5">
        <f t="shared" si="21"/>
        <v>0</v>
      </c>
      <c r="W44" s="1"/>
      <c r="X44" s="1">
        <f t="shared" si="22"/>
        <v>-9524.2000000000007</v>
      </c>
      <c r="Y44" s="1"/>
      <c r="Z44" s="5">
        <f t="shared" si="23"/>
        <v>-0.63494666666666677</v>
      </c>
    </row>
    <row r="45" spans="1:26" s="24" customFormat="1" hidden="1" outlineLevel="2" x14ac:dyDescent="0.25">
      <c r="A45" s="27"/>
      <c r="B45" s="11" t="str">
        <f>CONCATENATE("          ", "6381", " - ", "BANK/CREDIT CARD FEES")</f>
        <v xml:space="preserve">          6381 - BANK/CREDIT CARD FEES</v>
      </c>
      <c r="C45" s="11"/>
      <c r="D45" s="7">
        <v>3111.94</v>
      </c>
      <c r="E45" s="2"/>
      <c r="F45" s="6">
        <f t="shared" si="16"/>
        <v>0</v>
      </c>
      <c r="G45" s="2"/>
      <c r="H45" s="7">
        <v>10000</v>
      </c>
      <c r="I45" s="2"/>
      <c r="J45" s="6">
        <f t="shared" si="17"/>
        <v>0</v>
      </c>
      <c r="K45" s="2"/>
      <c r="L45" s="7">
        <f t="shared" si="18"/>
        <v>-6888.0599999999995</v>
      </c>
      <c r="M45" s="2"/>
      <c r="N45" s="6">
        <f t="shared" si="19"/>
        <v>-0.68880599999999992</v>
      </c>
      <c r="O45" s="11"/>
      <c r="P45" s="7">
        <v>5475.8</v>
      </c>
      <c r="Q45" s="2"/>
      <c r="R45" s="6">
        <f t="shared" si="20"/>
        <v>0</v>
      </c>
      <c r="S45" s="2"/>
      <c r="T45" s="7">
        <v>15000</v>
      </c>
      <c r="U45" s="2"/>
      <c r="V45" s="6">
        <f t="shared" si="21"/>
        <v>0</v>
      </c>
      <c r="W45" s="2"/>
      <c r="X45" s="7">
        <f t="shared" si="22"/>
        <v>-9524.2000000000007</v>
      </c>
      <c r="Y45" s="2"/>
      <c r="Z45" s="6">
        <f t="shared" si="23"/>
        <v>-0.63494666666666677</v>
      </c>
    </row>
    <row r="46" spans="1:26" s="28" customFormat="1" outlineLevel="1" collapsed="1" x14ac:dyDescent="0.25">
      <c r="A46" s="29"/>
      <c r="B46" s="14" t="str">
        <f>CONCATENATE("     ","Board                                             ")</f>
        <v xml:space="preserve">     Board                                             </v>
      </c>
      <c r="C46" s="14"/>
      <c r="D46" s="1">
        <f>SUM(OSRRefD22_4x_0)</f>
        <v>1435.83</v>
      </c>
      <c r="E46" s="1"/>
      <c r="F46" s="5">
        <f t="shared" si="16"/>
        <v>0</v>
      </c>
      <c r="G46" s="1"/>
      <c r="H46" s="1">
        <f>SUM(OSRRefH22_4x_0)</f>
        <v>2008</v>
      </c>
      <c r="I46" s="1"/>
      <c r="J46" s="5">
        <f t="shared" si="17"/>
        <v>0</v>
      </c>
      <c r="K46" s="1"/>
      <c r="L46" s="1">
        <f t="shared" si="18"/>
        <v>-572.17000000000007</v>
      </c>
      <c r="M46" s="1"/>
      <c r="N46" s="5">
        <f t="shared" si="19"/>
        <v>-0.28494521912350601</v>
      </c>
      <c r="O46" s="14"/>
      <c r="P46" s="1">
        <f>SUM(OSRRefP22_4x_0)</f>
        <v>4759.74</v>
      </c>
      <c r="Q46" s="1"/>
      <c r="R46" s="5">
        <f t="shared" si="20"/>
        <v>0</v>
      </c>
      <c r="S46" s="1"/>
      <c r="T46" s="1">
        <f>SUM(OSRRefT22_4x_0)</f>
        <v>4532</v>
      </c>
      <c r="U46" s="1"/>
      <c r="V46" s="5">
        <f t="shared" si="21"/>
        <v>0</v>
      </c>
      <c r="W46" s="1"/>
      <c r="X46" s="1">
        <f t="shared" si="22"/>
        <v>227.73999999999978</v>
      </c>
      <c r="Y46" s="1"/>
      <c r="Z46" s="5">
        <f t="shared" si="23"/>
        <v>5.0251544571932871E-2</v>
      </c>
    </row>
    <row r="47" spans="1:26" s="24" customFormat="1" hidden="1" outlineLevel="2" x14ac:dyDescent="0.25">
      <c r="A47" s="27"/>
      <c r="B47" s="11" t="str">
        <f>CONCATENATE("          ", "6397", " - ", "BOARD EXPENSES")</f>
        <v xml:space="preserve">          6397 - BOARD EXPENSES</v>
      </c>
      <c r="C47" s="11"/>
      <c r="D47" s="7">
        <v>1435.83</v>
      </c>
      <c r="E47" s="2"/>
      <c r="F47" s="6">
        <f t="shared" si="16"/>
        <v>0</v>
      </c>
      <c r="G47" s="2"/>
      <c r="H47" s="7">
        <v>2008</v>
      </c>
      <c r="I47" s="2"/>
      <c r="J47" s="6">
        <f t="shared" si="17"/>
        <v>0</v>
      </c>
      <c r="K47" s="2"/>
      <c r="L47" s="7">
        <f t="shared" si="18"/>
        <v>-572.17000000000007</v>
      </c>
      <c r="M47" s="2"/>
      <c r="N47" s="6">
        <f t="shared" si="19"/>
        <v>-0.28494521912350601</v>
      </c>
      <c r="O47" s="11"/>
      <c r="P47" s="7">
        <v>4759.74</v>
      </c>
      <c r="Q47" s="2"/>
      <c r="R47" s="6">
        <f t="shared" si="20"/>
        <v>0</v>
      </c>
      <c r="S47" s="2"/>
      <c r="T47" s="7">
        <v>4532</v>
      </c>
      <c r="U47" s="2"/>
      <c r="V47" s="6">
        <f t="shared" si="21"/>
        <v>0</v>
      </c>
      <c r="W47" s="2"/>
      <c r="X47" s="7">
        <f t="shared" si="22"/>
        <v>227.73999999999978</v>
      </c>
      <c r="Y47" s="2"/>
      <c r="Z47" s="6">
        <f t="shared" si="23"/>
        <v>5.0251544571932871E-2</v>
      </c>
    </row>
    <row r="48" spans="1:26" s="28" customFormat="1" outlineLevel="1" collapsed="1" x14ac:dyDescent="0.25">
      <c r="A48" s="29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4014.65</v>
      </c>
      <c r="E48" s="1"/>
      <c r="F48" s="5">
        <f t="shared" si="16"/>
        <v>0</v>
      </c>
      <c r="G48" s="1"/>
      <c r="H48" s="1">
        <f>SUM(OSRRefH22_5x_0)</f>
        <v>3973</v>
      </c>
      <c r="I48" s="1"/>
      <c r="J48" s="5">
        <f t="shared" si="17"/>
        <v>0</v>
      </c>
      <c r="K48" s="1"/>
      <c r="L48" s="1">
        <f t="shared" si="18"/>
        <v>41.650000000000091</v>
      </c>
      <c r="M48" s="1"/>
      <c r="N48" s="5">
        <f t="shared" si="19"/>
        <v>1.0483262018625747E-2</v>
      </c>
      <c r="O48" s="14"/>
      <c r="P48" s="1">
        <f>SUM(OSRRefP22_5x_0)</f>
        <v>24931</v>
      </c>
      <c r="Q48" s="1"/>
      <c r="R48" s="5">
        <f t="shared" si="20"/>
        <v>0</v>
      </c>
      <c r="S48" s="1"/>
      <c r="T48" s="1">
        <f>SUM(OSRRefT22_5x_0)</f>
        <v>24763</v>
      </c>
      <c r="U48" s="1"/>
      <c r="V48" s="5">
        <f t="shared" si="21"/>
        <v>0</v>
      </c>
      <c r="W48" s="1"/>
      <c r="X48" s="1">
        <f t="shared" si="22"/>
        <v>168</v>
      </c>
      <c r="Y48" s="1"/>
      <c r="Z48" s="5">
        <f t="shared" si="23"/>
        <v>6.7843153091305579E-3</v>
      </c>
    </row>
    <row r="49" spans="1:26" s="24" customFormat="1" hidden="1" outlineLevel="2" x14ac:dyDescent="0.25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4014.65</v>
      </c>
      <c r="E49" s="2"/>
      <c r="F49" s="6">
        <f t="shared" si="16"/>
        <v>0</v>
      </c>
      <c r="G49" s="2"/>
      <c r="H49" s="7">
        <v>3473</v>
      </c>
      <c r="I49" s="2"/>
      <c r="J49" s="6">
        <f t="shared" si="17"/>
        <v>0</v>
      </c>
      <c r="K49" s="2"/>
      <c r="L49" s="7">
        <f t="shared" si="18"/>
        <v>541.65000000000009</v>
      </c>
      <c r="M49" s="2"/>
      <c r="N49" s="6">
        <f t="shared" si="19"/>
        <v>0.15596026490066228</v>
      </c>
      <c r="O49" s="11"/>
      <c r="P49" s="7">
        <v>24931</v>
      </c>
      <c r="Q49" s="2"/>
      <c r="R49" s="6">
        <f t="shared" si="20"/>
        <v>0</v>
      </c>
      <c r="S49" s="2"/>
      <c r="T49" s="7">
        <v>22763</v>
      </c>
      <c r="U49" s="2"/>
      <c r="V49" s="6">
        <f t="shared" si="21"/>
        <v>0</v>
      </c>
      <c r="W49" s="2"/>
      <c r="X49" s="7">
        <f t="shared" si="22"/>
        <v>2168</v>
      </c>
      <c r="Y49" s="2"/>
      <c r="Z49" s="6">
        <f t="shared" si="23"/>
        <v>9.5242279137196323E-2</v>
      </c>
    </row>
    <row r="50" spans="1:26" s="24" customFormat="1" hidden="1" outlineLevel="2" x14ac:dyDescent="0.25">
      <c r="A50" s="27"/>
      <c r="B50" s="11" t="str">
        <f>CONCATENATE("          ", "6324", " - ", "FURNITURE + FIXT DEPRECIATION")</f>
        <v xml:space="preserve">          6324 - FURNITURE + FIXT DEPRECIATION</v>
      </c>
      <c r="C50" s="11"/>
      <c r="D50" s="7"/>
      <c r="E50" s="2"/>
      <c r="F50" s="6">
        <f t="shared" si="16"/>
        <v>0</v>
      </c>
      <c r="G50" s="2"/>
      <c r="H50" s="7">
        <v>500</v>
      </c>
      <c r="I50" s="2"/>
      <c r="J50" s="6">
        <f t="shared" si="17"/>
        <v>0</v>
      </c>
      <c r="K50" s="2"/>
      <c r="L50" s="7">
        <f t="shared" si="18"/>
        <v>-500</v>
      </c>
      <c r="M50" s="2"/>
      <c r="N50" s="6">
        <f t="shared" si="19"/>
        <v>-1</v>
      </c>
      <c r="O50" s="11"/>
      <c r="P50" s="7"/>
      <c r="Q50" s="2"/>
      <c r="R50" s="6">
        <f t="shared" si="20"/>
        <v>0</v>
      </c>
      <c r="S50" s="2"/>
      <c r="T50" s="7">
        <v>2000</v>
      </c>
      <c r="U50" s="2"/>
      <c r="V50" s="6">
        <f t="shared" si="21"/>
        <v>0</v>
      </c>
      <c r="W50" s="2"/>
      <c r="X50" s="7">
        <f t="shared" si="22"/>
        <v>-2000</v>
      </c>
      <c r="Y50" s="2"/>
      <c r="Z50" s="6">
        <f t="shared" si="23"/>
        <v>-1</v>
      </c>
    </row>
    <row r="51" spans="1:26" s="28" customFormat="1" outlineLevel="1" collapsed="1" x14ac:dyDescent="0.25">
      <c r="A51" s="29"/>
      <c r="B51" s="14" t="str">
        <f>CONCATENATE("     ","Donations                                         ")</f>
        <v xml:space="preserve">     Donations                                         </v>
      </c>
      <c r="C51" s="14"/>
      <c r="D51" s="1">
        <f>SUM(OSRRefD22_6x_0)</f>
        <v>0</v>
      </c>
      <c r="E51" s="1"/>
      <c r="F51" s="5">
        <f t="shared" ref="F51:F67" si="24">IF(D$12=0,0,D51/D$12)</f>
        <v>0</v>
      </c>
      <c r="G51" s="1"/>
      <c r="H51" s="1">
        <f>SUM(OSRRefH22_6x_0)</f>
        <v>2750</v>
      </c>
      <c r="I51" s="1"/>
      <c r="J51" s="5">
        <f t="shared" ref="J51:J67" si="25">IF(H$12=0,0,H51/H$12)</f>
        <v>0</v>
      </c>
      <c r="K51" s="1"/>
      <c r="L51" s="1">
        <f t="shared" ref="L51:L67" si="26">+D51-H51</f>
        <v>-2750</v>
      </c>
      <c r="M51" s="1"/>
      <c r="N51" s="5">
        <f t="shared" ref="N51:N67" si="27">IF(H51=0,0,L51/H51)</f>
        <v>-1</v>
      </c>
      <c r="O51" s="14"/>
      <c r="P51" s="1">
        <f>SUM(OSRRefP22_6x_0)</f>
        <v>0</v>
      </c>
      <c r="Q51" s="1"/>
      <c r="R51" s="5">
        <f t="shared" ref="R51:R67" si="28">IF(P$12=0,0,P51/P$12)</f>
        <v>0</v>
      </c>
      <c r="S51" s="1"/>
      <c r="T51" s="1">
        <f>SUM(OSRRefT22_6x_0)</f>
        <v>40450</v>
      </c>
      <c r="U51" s="1"/>
      <c r="V51" s="5">
        <f t="shared" ref="V51:V67" si="29">IF(T$12=0,0,T51/T$12)</f>
        <v>0</v>
      </c>
      <c r="W51" s="1"/>
      <c r="X51" s="1">
        <f t="shared" ref="X51:X67" si="30">+P51-T51</f>
        <v>-40450</v>
      </c>
      <c r="Y51" s="1"/>
      <c r="Z51" s="5">
        <f t="shared" ref="Z51:Z67" si="31">IF(T51=0,0,X51/T51)</f>
        <v>-1</v>
      </c>
    </row>
    <row r="52" spans="1:26" s="24" customFormat="1" hidden="1" outlineLevel="2" x14ac:dyDescent="0.25">
      <c r="A52" s="27"/>
      <c r="B52" s="11" t="str">
        <f>CONCATENATE("          ", "6399", " - ", "DONATION-ON CAMPUS")</f>
        <v xml:space="preserve">          6399 - DONATION-ON CAMPUS</v>
      </c>
      <c r="C52" s="11"/>
      <c r="D52" s="7"/>
      <c r="E52" s="2"/>
      <c r="F52" s="6">
        <f t="shared" si="24"/>
        <v>0</v>
      </c>
      <c r="G52" s="2"/>
      <c r="H52" s="7">
        <v>2750</v>
      </c>
      <c r="I52" s="2"/>
      <c r="J52" s="6">
        <f t="shared" si="25"/>
        <v>0</v>
      </c>
      <c r="K52" s="2"/>
      <c r="L52" s="7">
        <f t="shared" si="26"/>
        <v>-2750</v>
      </c>
      <c r="M52" s="2"/>
      <c r="N52" s="6">
        <f t="shared" si="27"/>
        <v>-1</v>
      </c>
      <c r="O52" s="11"/>
      <c r="P52" s="7"/>
      <c r="Q52" s="2"/>
      <c r="R52" s="6">
        <f t="shared" si="28"/>
        <v>0</v>
      </c>
      <c r="S52" s="2"/>
      <c r="T52" s="7">
        <v>40450</v>
      </c>
      <c r="U52" s="2"/>
      <c r="V52" s="6">
        <f t="shared" si="29"/>
        <v>0</v>
      </c>
      <c r="W52" s="2"/>
      <c r="X52" s="7">
        <f t="shared" si="30"/>
        <v>-40450</v>
      </c>
      <c r="Y52" s="2"/>
      <c r="Z52" s="6">
        <f t="shared" si="31"/>
        <v>-1</v>
      </c>
    </row>
    <row r="53" spans="1:26" s="28" customFormat="1" outlineLevel="1" collapsed="1" x14ac:dyDescent="0.25">
      <c r="A53" s="29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SUM(OSRRefD22_7x_0)</f>
        <v>0</v>
      </c>
      <c r="E53" s="1"/>
      <c r="F53" s="5">
        <f t="shared" si="24"/>
        <v>0</v>
      </c>
      <c r="G53" s="1"/>
      <c r="H53" s="1">
        <f>SUM(OSRRefH22_7x_0)</f>
        <v>250</v>
      </c>
      <c r="I53" s="1"/>
      <c r="J53" s="5">
        <f t="shared" si="25"/>
        <v>0</v>
      </c>
      <c r="K53" s="1"/>
      <c r="L53" s="1">
        <f t="shared" si="26"/>
        <v>-250</v>
      </c>
      <c r="M53" s="1"/>
      <c r="N53" s="5">
        <f t="shared" si="27"/>
        <v>-1</v>
      </c>
      <c r="O53" s="14"/>
      <c r="P53" s="1">
        <f>SUM(OSRRefP22_7x_0)</f>
        <v>0</v>
      </c>
      <c r="Q53" s="1"/>
      <c r="R53" s="5">
        <f t="shared" si="28"/>
        <v>0</v>
      </c>
      <c r="S53" s="1"/>
      <c r="T53" s="1">
        <f>SUM(OSRRefT22_7x_0)</f>
        <v>1500</v>
      </c>
      <c r="U53" s="1"/>
      <c r="V53" s="5">
        <f t="shared" si="29"/>
        <v>0</v>
      </c>
      <c r="W53" s="1"/>
      <c r="X53" s="1">
        <f t="shared" si="30"/>
        <v>-1500</v>
      </c>
      <c r="Y53" s="1"/>
      <c r="Z53" s="5">
        <f t="shared" si="31"/>
        <v>-1</v>
      </c>
    </row>
    <row r="54" spans="1:26" s="24" customFormat="1" hidden="1" outlineLevel="2" x14ac:dyDescent="0.25">
      <c r="A54" s="27"/>
      <c r="B54" s="11" t="str">
        <f>CONCATENATE("          ", "6277", " - ", "EMPLOYEE APPRECIATION")</f>
        <v xml:space="preserve">          6277 - EMPLOYEE APPRECIATION</v>
      </c>
      <c r="C54" s="11"/>
      <c r="D54" s="7"/>
      <c r="E54" s="2"/>
      <c r="F54" s="6">
        <f t="shared" si="24"/>
        <v>0</v>
      </c>
      <c r="G54" s="2"/>
      <c r="H54" s="7">
        <v>250</v>
      </c>
      <c r="I54" s="2"/>
      <c r="J54" s="6">
        <f t="shared" si="25"/>
        <v>0</v>
      </c>
      <c r="K54" s="2"/>
      <c r="L54" s="7">
        <f t="shared" si="26"/>
        <v>-250</v>
      </c>
      <c r="M54" s="2"/>
      <c r="N54" s="6">
        <f t="shared" si="27"/>
        <v>-1</v>
      </c>
      <c r="O54" s="11"/>
      <c r="P54" s="7"/>
      <c r="Q54" s="2"/>
      <c r="R54" s="6">
        <f t="shared" si="28"/>
        <v>0</v>
      </c>
      <c r="S54" s="2"/>
      <c r="T54" s="7">
        <v>1500</v>
      </c>
      <c r="U54" s="2"/>
      <c r="V54" s="6">
        <f t="shared" si="29"/>
        <v>0</v>
      </c>
      <c r="W54" s="2"/>
      <c r="X54" s="7">
        <f t="shared" si="30"/>
        <v>-1500</v>
      </c>
      <c r="Y54" s="2"/>
      <c r="Z54" s="6">
        <f t="shared" si="31"/>
        <v>-1</v>
      </c>
    </row>
    <row r="55" spans="1:26" s="28" customFormat="1" outlineLevel="1" collapsed="1" x14ac:dyDescent="0.25">
      <c r="A55" s="29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SUM(OSRRefD22_8x_0)</f>
        <v>208.97</v>
      </c>
      <c r="E55" s="1"/>
      <c r="F55" s="5">
        <f t="shared" si="24"/>
        <v>0</v>
      </c>
      <c r="G55" s="1"/>
      <c r="H55" s="1">
        <f>SUM(OSRRefH22_8x_0)</f>
        <v>284</v>
      </c>
      <c r="I55" s="1"/>
      <c r="J55" s="5">
        <f t="shared" si="25"/>
        <v>0</v>
      </c>
      <c r="K55" s="1"/>
      <c r="L55" s="1">
        <f t="shared" si="26"/>
        <v>-75.03</v>
      </c>
      <c r="M55" s="1"/>
      <c r="N55" s="5">
        <f t="shared" si="27"/>
        <v>-0.26419014084507042</v>
      </c>
      <c r="O55" s="14"/>
      <c r="P55" s="1">
        <f>SUM(OSRRefP22_8x_0)</f>
        <v>835.88</v>
      </c>
      <c r="Q55" s="1"/>
      <c r="R55" s="5">
        <f t="shared" si="28"/>
        <v>0</v>
      </c>
      <c r="S55" s="1"/>
      <c r="T55" s="1">
        <f>SUM(OSRRefT22_8x_0)</f>
        <v>1136</v>
      </c>
      <c r="U55" s="1"/>
      <c r="V55" s="5">
        <f t="shared" si="29"/>
        <v>0</v>
      </c>
      <c r="W55" s="1"/>
      <c r="X55" s="1">
        <f t="shared" si="30"/>
        <v>-300.12</v>
      </c>
      <c r="Y55" s="1"/>
      <c r="Z55" s="5">
        <f t="shared" si="31"/>
        <v>-0.26419014084507042</v>
      </c>
    </row>
    <row r="56" spans="1:26" s="24" customFormat="1" hidden="1" outlineLevel="2" x14ac:dyDescent="0.25">
      <c r="A56" s="27"/>
      <c r="B56" s="11" t="str">
        <f>CONCATENATE("          ", "6351", " - ", "EQUIPMENT RENTAL")</f>
        <v xml:space="preserve">          6351 - EQUIPMENT RENTAL</v>
      </c>
      <c r="C56" s="11"/>
      <c r="D56" s="7">
        <v>208.97</v>
      </c>
      <c r="E56" s="2"/>
      <c r="F56" s="6">
        <f t="shared" si="24"/>
        <v>0</v>
      </c>
      <c r="G56" s="2"/>
      <c r="H56" s="7">
        <v>284</v>
      </c>
      <c r="I56" s="2"/>
      <c r="J56" s="6">
        <f t="shared" si="25"/>
        <v>0</v>
      </c>
      <c r="K56" s="2"/>
      <c r="L56" s="7">
        <f t="shared" si="26"/>
        <v>-75.03</v>
      </c>
      <c r="M56" s="2"/>
      <c r="N56" s="6">
        <f t="shared" si="27"/>
        <v>-0.26419014084507042</v>
      </c>
      <c r="O56" s="11"/>
      <c r="P56" s="7">
        <v>835.88</v>
      </c>
      <c r="Q56" s="2"/>
      <c r="R56" s="6">
        <f t="shared" si="28"/>
        <v>0</v>
      </c>
      <c r="S56" s="2"/>
      <c r="T56" s="7">
        <v>1136</v>
      </c>
      <c r="U56" s="2"/>
      <c r="V56" s="6">
        <f t="shared" si="29"/>
        <v>0</v>
      </c>
      <c r="W56" s="2"/>
      <c r="X56" s="7">
        <f t="shared" si="30"/>
        <v>-300.12</v>
      </c>
      <c r="Y56" s="2"/>
      <c r="Z56" s="6">
        <f t="shared" si="31"/>
        <v>-0.26419014084507042</v>
      </c>
    </row>
    <row r="57" spans="1:26" s="28" customFormat="1" outlineLevel="1" collapsed="1" x14ac:dyDescent="0.25">
      <c r="A57" s="29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SUM(OSRRefD22_9x_0)</f>
        <v>214.36</v>
      </c>
      <c r="E57" s="1"/>
      <c r="F57" s="5">
        <f t="shared" si="24"/>
        <v>0</v>
      </c>
      <c r="G57" s="1"/>
      <c r="H57" s="1">
        <f>SUM(OSRRefH22_9x_0)</f>
        <v>125</v>
      </c>
      <c r="I57" s="1"/>
      <c r="J57" s="5">
        <f t="shared" si="25"/>
        <v>0</v>
      </c>
      <c r="K57" s="1"/>
      <c r="L57" s="1">
        <f t="shared" si="26"/>
        <v>89.360000000000014</v>
      </c>
      <c r="M57" s="1"/>
      <c r="N57" s="5">
        <f t="shared" si="27"/>
        <v>0.71488000000000007</v>
      </c>
      <c r="O57" s="14"/>
      <c r="P57" s="1">
        <f>SUM(OSRRefP22_9x_0)</f>
        <v>728.9</v>
      </c>
      <c r="Q57" s="1"/>
      <c r="R57" s="5">
        <f t="shared" si="28"/>
        <v>0</v>
      </c>
      <c r="S57" s="1"/>
      <c r="T57" s="1">
        <f>SUM(OSRRefT22_9x_0)</f>
        <v>575</v>
      </c>
      <c r="U57" s="1"/>
      <c r="V57" s="5">
        <f t="shared" si="29"/>
        <v>0</v>
      </c>
      <c r="W57" s="1"/>
      <c r="X57" s="1">
        <f t="shared" si="30"/>
        <v>153.89999999999998</v>
      </c>
      <c r="Y57" s="1"/>
      <c r="Z57" s="5">
        <f t="shared" si="31"/>
        <v>0.26765217391304341</v>
      </c>
    </row>
    <row r="58" spans="1:26" s="24" customFormat="1" hidden="1" outlineLevel="2" x14ac:dyDescent="0.25">
      <c r="A58" s="27"/>
      <c r="B58" s="11" t="str">
        <f>CONCATENATE("          ", "6307", " - ", "POSTAGE")</f>
        <v xml:space="preserve">          6307 - POSTAGE</v>
      </c>
      <c r="C58" s="11"/>
      <c r="D58" s="7">
        <v>214.36</v>
      </c>
      <c r="E58" s="2"/>
      <c r="F58" s="6">
        <f t="shared" si="24"/>
        <v>0</v>
      </c>
      <c r="G58" s="2"/>
      <c r="H58" s="7">
        <v>125</v>
      </c>
      <c r="I58" s="2"/>
      <c r="J58" s="6">
        <f t="shared" si="25"/>
        <v>0</v>
      </c>
      <c r="K58" s="2"/>
      <c r="L58" s="7">
        <f t="shared" si="26"/>
        <v>89.360000000000014</v>
      </c>
      <c r="M58" s="2"/>
      <c r="N58" s="6">
        <f t="shared" si="27"/>
        <v>0.71488000000000007</v>
      </c>
      <c r="O58" s="11"/>
      <c r="P58" s="7">
        <v>728.9</v>
      </c>
      <c r="Q58" s="2"/>
      <c r="R58" s="6">
        <f t="shared" si="28"/>
        <v>0</v>
      </c>
      <c r="S58" s="2"/>
      <c r="T58" s="7">
        <v>575</v>
      </c>
      <c r="U58" s="2"/>
      <c r="V58" s="6">
        <f t="shared" si="29"/>
        <v>0</v>
      </c>
      <c r="W58" s="2"/>
      <c r="X58" s="7">
        <f t="shared" si="30"/>
        <v>153.89999999999998</v>
      </c>
      <c r="Y58" s="2"/>
      <c r="Z58" s="6">
        <f t="shared" si="31"/>
        <v>0.26765217391304341</v>
      </c>
    </row>
    <row r="59" spans="1:26" s="28" customFormat="1" outlineLevel="1" collapsed="1" x14ac:dyDescent="0.25">
      <c r="A59" s="29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SUM(OSRRefD22_10x_0)</f>
        <v>-718.57</v>
      </c>
      <c r="E59" s="1"/>
      <c r="F59" s="5">
        <f t="shared" si="24"/>
        <v>0</v>
      </c>
      <c r="G59" s="1"/>
      <c r="H59" s="1">
        <f>SUM(OSRRefH22_10x_0)</f>
        <v>-150</v>
      </c>
      <c r="I59" s="1"/>
      <c r="J59" s="5">
        <f t="shared" si="25"/>
        <v>0</v>
      </c>
      <c r="K59" s="1"/>
      <c r="L59" s="1">
        <f t="shared" si="26"/>
        <v>-568.57000000000005</v>
      </c>
      <c r="M59" s="1"/>
      <c r="N59" s="5">
        <f t="shared" si="27"/>
        <v>3.7904666666666671</v>
      </c>
      <c r="O59" s="14"/>
      <c r="P59" s="1">
        <f>SUM(OSRRefP22_10x_0)</f>
        <v>1402.18</v>
      </c>
      <c r="Q59" s="1"/>
      <c r="R59" s="5">
        <f t="shared" si="28"/>
        <v>0</v>
      </c>
      <c r="S59" s="1"/>
      <c r="T59" s="1">
        <f>SUM(OSRRefT22_10x_0)</f>
        <v>-300</v>
      </c>
      <c r="U59" s="1"/>
      <c r="V59" s="5">
        <f t="shared" si="29"/>
        <v>0</v>
      </c>
      <c r="W59" s="1"/>
      <c r="X59" s="1">
        <f t="shared" si="30"/>
        <v>1702.18</v>
      </c>
      <c r="Y59" s="1"/>
      <c r="Z59" s="5">
        <f t="shared" si="31"/>
        <v>-5.6739333333333333</v>
      </c>
    </row>
    <row r="60" spans="1:26" s="24" customFormat="1" hidden="1" outlineLevel="2" x14ac:dyDescent="0.25">
      <c r="A60" s="27"/>
      <c r="B60" s="11" t="str">
        <f>CONCATENATE("          ", "6279", " - ", "GENERAL EXPENSE")</f>
        <v xml:space="preserve">          6279 - GENERAL EXPENSE</v>
      </c>
      <c r="C60" s="11"/>
      <c r="D60" s="7">
        <v>-718.57</v>
      </c>
      <c r="E60" s="2"/>
      <c r="F60" s="6">
        <f t="shared" si="24"/>
        <v>0</v>
      </c>
      <c r="G60" s="2"/>
      <c r="H60" s="7">
        <v>-150</v>
      </c>
      <c r="I60" s="2"/>
      <c r="J60" s="6">
        <f t="shared" si="25"/>
        <v>0</v>
      </c>
      <c r="K60" s="2"/>
      <c r="L60" s="7">
        <f t="shared" si="26"/>
        <v>-568.57000000000005</v>
      </c>
      <c r="M60" s="2"/>
      <c r="N60" s="6">
        <f t="shared" si="27"/>
        <v>3.7904666666666671</v>
      </c>
      <c r="O60" s="11"/>
      <c r="P60" s="7">
        <v>1402.18</v>
      </c>
      <c r="Q60" s="2"/>
      <c r="R60" s="6">
        <f t="shared" si="28"/>
        <v>0</v>
      </c>
      <c r="S60" s="2"/>
      <c r="T60" s="7">
        <v>-300</v>
      </c>
      <c r="U60" s="2"/>
      <c r="V60" s="6">
        <f t="shared" si="29"/>
        <v>0</v>
      </c>
      <c r="W60" s="2"/>
      <c r="X60" s="7">
        <f t="shared" si="30"/>
        <v>1702.18</v>
      </c>
      <c r="Y60" s="2"/>
      <c r="Z60" s="6">
        <f t="shared" si="31"/>
        <v>-5.6739333333333333</v>
      </c>
    </row>
    <row r="61" spans="1:26" s="28" customFormat="1" outlineLevel="1" collapsed="1" x14ac:dyDescent="0.25">
      <c r="A61" s="29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SUM(OSRRefD22_11x_0)</f>
        <v>535.05999999999995</v>
      </c>
      <c r="E61" s="1"/>
      <c r="F61" s="5">
        <f t="shared" si="24"/>
        <v>0</v>
      </c>
      <c r="G61" s="1"/>
      <c r="H61" s="1">
        <f>SUM(OSRRefH22_11x_0)</f>
        <v>530</v>
      </c>
      <c r="I61" s="1"/>
      <c r="J61" s="5">
        <f t="shared" si="25"/>
        <v>0</v>
      </c>
      <c r="K61" s="1"/>
      <c r="L61" s="1">
        <f t="shared" si="26"/>
        <v>5.0599999999999454</v>
      </c>
      <c r="M61" s="1"/>
      <c r="N61" s="5">
        <f t="shared" si="27"/>
        <v>9.5471698113206525E-3</v>
      </c>
      <c r="O61" s="14"/>
      <c r="P61" s="1">
        <f>SUM(OSRRefP22_11x_0)</f>
        <v>2140.2399999999998</v>
      </c>
      <c r="Q61" s="1"/>
      <c r="R61" s="5">
        <f t="shared" si="28"/>
        <v>0</v>
      </c>
      <c r="S61" s="1"/>
      <c r="T61" s="1">
        <f>SUM(OSRRefT22_11x_0)</f>
        <v>2120</v>
      </c>
      <c r="U61" s="1"/>
      <c r="V61" s="5">
        <f t="shared" si="29"/>
        <v>0</v>
      </c>
      <c r="W61" s="1"/>
      <c r="X61" s="1">
        <f t="shared" si="30"/>
        <v>20.239999999999782</v>
      </c>
      <c r="Y61" s="1"/>
      <c r="Z61" s="5">
        <f t="shared" si="31"/>
        <v>9.5471698113206525E-3</v>
      </c>
    </row>
    <row r="62" spans="1:26" s="24" customFormat="1" hidden="1" outlineLevel="2" x14ac:dyDescent="0.25">
      <c r="A62" s="27"/>
      <c r="B62" s="11" t="str">
        <f>CONCATENATE("          ", "6314", " - ", "LIABILITY INSURANCE")</f>
        <v xml:space="preserve">          6314 - LIABILITY INSURANCE</v>
      </c>
      <c r="C62" s="11"/>
      <c r="D62" s="7">
        <v>535.05999999999995</v>
      </c>
      <c r="E62" s="2"/>
      <c r="F62" s="6">
        <f t="shared" si="24"/>
        <v>0</v>
      </c>
      <c r="G62" s="2"/>
      <c r="H62" s="7">
        <v>530</v>
      </c>
      <c r="I62" s="2"/>
      <c r="J62" s="6">
        <f t="shared" si="25"/>
        <v>0</v>
      </c>
      <c r="K62" s="2"/>
      <c r="L62" s="7">
        <f t="shared" si="26"/>
        <v>5.0599999999999454</v>
      </c>
      <c r="M62" s="2"/>
      <c r="N62" s="6">
        <f t="shared" si="27"/>
        <v>9.5471698113206525E-3</v>
      </c>
      <c r="O62" s="11"/>
      <c r="P62" s="7">
        <v>2140.2399999999998</v>
      </c>
      <c r="Q62" s="2"/>
      <c r="R62" s="6">
        <f t="shared" si="28"/>
        <v>0</v>
      </c>
      <c r="S62" s="2"/>
      <c r="T62" s="7">
        <v>2120</v>
      </c>
      <c r="U62" s="2"/>
      <c r="V62" s="6">
        <f t="shared" si="29"/>
        <v>0</v>
      </c>
      <c r="W62" s="2"/>
      <c r="X62" s="7">
        <f t="shared" si="30"/>
        <v>20.239999999999782</v>
      </c>
      <c r="Y62" s="2"/>
      <c r="Z62" s="6">
        <f t="shared" si="31"/>
        <v>9.5471698113206525E-3</v>
      </c>
    </row>
    <row r="63" spans="1:26" s="28" customFormat="1" outlineLevel="1" collapsed="1" x14ac:dyDescent="0.25">
      <c r="A63" s="29"/>
      <c r="B63" s="14" t="str">
        <f>CONCATENATE("     ","Professional Services                             ")</f>
        <v xml:space="preserve">     Professional Services                             </v>
      </c>
      <c r="C63" s="14"/>
      <c r="D63" s="1">
        <f>SUM(OSRRefD22_12x_0)</f>
        <v>32573.27</v>
      </c>
      <c r="E63" s="1"/>
      <c r="F63" s="5">
        <f t="shared" si="24"/>
        <v>0</v>
      </c>
      <c r="G63" s="1"/>
      <c r="H63" s="1">
        <f>SUM(OSRRefH22_12x_0)</f>
        <v>31666</v>
      </c>
      <c r="I63" s="1"/>
      <c r="J63" s="5">
        <f t="shared" si="25"/>
        <v>0</v>
      </c>
      <c r="K63" s="1"/>
      <c r="L63" s="1">
        <f t="shared" si="26"/>
        <v>907.27000000000044</v>
      </c>
      <c r="M63" s="1"/>
      <c r="N63" s="5">
        <f t="shared" si="27"/>
        <v>2.8651234762837124E-2</v>
      </c>
      <c r="O63" s="14"/>
      <c r="P63" s="1">
        <f>SUM(OSRRefP22_12x_0)</f>
        <v>65614.87</v>
      </c>
      <c r="Q63" s="1"/>
      <c r="R63" s="5">
        <f t="shared" si="28"/>
        <v>0</v>
      </c>
      <c r="S63" s="1"/>
      <c r="T63" s="1">
        <f>SUM(OSRRefT22_12x_0)</f>
        <v>65664</v>
      </c>
      <c r="U63" s="1"/>
      <c r="V63" s="5">
        <f t="shared" si="29"/>
        <v>0</v>
      </c>
      <c r="W63" s="1"/>
      <c r="X63" s="1">
        <f t="shared" si="30"/>
        <v>-49.130000000004657</v>
      </c>
      <c r="Y63" s="1"/>
      <c r="Z63" s="5">
        <f t="shared" si="31"/>
        <v>-7.482029727096226E-4</v>
      </c>
    </row>
    <row r="64" spans="1:26" s="24" customFormat="1" hidden="1" outlineLevel="2" x14ac:dyDescent="0.25">
      <c r="A64" s="27"/>
      <c r="B64" s="11" t="str">
        <f>CONCATENATE("          ", "6331", " - ", "INDIRECT COSTS-AUXILIARY ORGAN")</f>
        <v xml:space="preserve">          6331 - INDIRECT COSTS-AUXILIARY ORGAN</v>
      </c>
      <c r="C64" s="11"/>
      <c r="D64" s="7">
        <v>29087.75</v>
      </c>
      <c r="E64" s="2"/>
      <c r="F64" s="6">
        <f t="shared" si="24"/>
        <v>0</v>
      </c>
      <c r="G64" s="2"/>
      <c r="H64" s="7">
        <v>28000</v>
      </c>
      <c r="I64" s="2"/>
      <c r="J64" s="6">
        <f t="shared" si="25"/>
        <v>0</v>
      </c>
      <c r="K64" s="2"/>
      <c r="L64" s="7">
        <f t="shared" si="26"/>
        <v>1087.75</v>
      </c>
      <c r="M64" s="2"/>
      <c r="N64" s="6">
        <f t="shared" si="27"/>
        <v>3.8848214285714285E-2</v>
      </c>
      <c r="O64" s="11"/>
      <c r="P64" s="7">
        <v>55925.5</v>
      </c>
      <c r="Q64" s="2"/>
      <c r="R64" s="6">
        <f t="shared" si="28"/>
        <v>0</v>
      </c>
      <c r="S64" s="2"/>
      <c r="T64" s="7">
        <v>53000</v>
      </c>
      <c r="U64" s="2"/>
      <c r="V64" s="6">
        <f t="shared" si="29"/>
        <v>0</v>
      </c>
      <c r="W64" s="2"/>
      <c r="X64" s="7">
        <f t="shared" si="30"/>
        <v>2925.5</v>
      </c>
      <c r="Y64" s="2"/>
      <c r="Z64" s="6">
        <f t="shared" si="31"/>
        <v>5.5198113207547167E-2</v>
      </c>
    </row>
    <row r="65" spans="1:26" s="24" customFormat="1" hidden="1" outlineLevel="2" x14ac:dyDescent="0.25">
      <c r="A65" s="27"/>
      <c r="B65" s="11" t="str">
        <f>CONCATENATE("          ", "6332", " - ", "CONSULTANT FEES")</f>
        <v xml:space="preserve">          6332 - CONSULTANT FEES</v>
      </c>
      <c r="C65" s="11"/>
      <c r="D65" s="7"/>
      <c r="E65" s="2"/>
      <c r="F65" s="6">
        <f t="shared" si="24"/>
        <v>0</v>
      </c>
      <c r="G65" s="2"/>
      <c r="H65" s="7">
        <v>2000</v>
      </c>
      <c r="I65" s="2"/>
      <c r="J65" s="6">
        <f t="shared" si="25"/>
        <v>0</v>
      </c>
      <c r="K65" s="2"/>
      <c r="L65" s="7">
        <f t="shared" si="26"/>
        <v>-2000</v>
      </c>
      <c r="M65" s="2"/>
      <c r="N65" s="6">
        <f t="shared" si="27"/>
        <v>-1</v>
      </c>
      <c r="O65" s="11"/>
      <c r="P65" s="7"/>
      <c r="Q65" s="2"/>
      <c r="R65" s="6">
        <f t="shared" si="28"/>
        <v>0</v>
      </c>
      <c r="S65" s="2"/>
      <c r="T65" s="7">
        <v>5000</v>
      </c>
      <c r="U65" s="2"/>
      <c r="V65" s="6">
        <f t="shared" si="29"/>
        <v>0</v>
      </c>
      <c r="W65" s="2"/>
      <c r="X65" s="7">
        <f t="shared" si="30"/>
        <v>-5000</v>
      </c>
      <c r="Y65" s="2"/>
      <c r="Z65" s="6">
        <f t="shared" si="31"/>
        <v>-1</v>
      </c>
    </row>
    <row r="66" spans="1:26" s="24" customFormat="1" hidden="1" outlineLevel="2" x14ac:dyDescent="0.25">
      <c r="A66" s="27"/>
      <c r="B66" s="11" t="str">
        <f>CONCATENATE("          ", "6334", " - ", "LEGAL COUNCIL EXPENSE")</f>
        <v xml:space="preserve">          6334 - LEGAL COUNCIL EXPENSE</v>
      </c>
      <c r="C66" s="11"/>
      <c r="D66" s="7">
        <v>75</v>
      </c>
      <c r="E66" s="2"/>
      <c r="F66" s="6">
        <f t="shared" si="24"/>
        <v>0</v>
      </c>
      <c r="G66" s="2"/>
      <c r="H66" s="7">
        <v>833</v>
      </c>
      <c r="I66" s="2"/>
      <c r="J66" s="6">
        <f t="shared" si="25"/>
        <v>0</v>
      </c>
      <c r="K66" s="2"/>
      <c r="L66" s="7">
        <f t="shared" si="26"/>
        <v>-758</v>
      </c>
      <c r="M66" s="2"/>
      <c r="N66" s="6">
        <f t="shared" si="27"/>
        <v>-0.90996398559423775</v>
      </c>
      <c r="O66" s="11"/>
      <c r="P66" s="7">
        <v>3330</v>
      </c>
      <c r="Q66" s="2"/>
      <c r="R66" s="6">
        <f t="shared" si="28"/>
        <v>0</v>
      </c>
      <c r="S66" s="2"/>
      <c r="T66" s="7">
        <v>4332</v>
      </c>
      <c r="U66" s="2"/>
      <c r="V66" s="6">
        <f t="shared" si="29"/>
        <v>0</v>
      </c>
      <c r="W66" s="2"/>
      <c r="X66" s="7">
        <f t="shared" si="30"/>
        <v>-1002</v>
      </c>
      <c r="Y66" s="2"/>
      <c r="Z66" s="6">
        <f t="shared" si="31"/>
        <v>-0.23130193905817176</v>
      </c>
    </row>
    <row r="67" spans="1:26" s="24" customFormat="1" hidden="1" outlineLevel="2" x14ac:dyDescent="0.25">
      <c r="A67" s="27"/>
      <c r="B67" s="11" t="str">
        <f>CONCATENATE("          ", "6336", " - ", "PROFESSIONAL SERVICES")</f>
        <v xml:space="preserve">          6336 - PROFESSIONAL SERVICES</v>
      </c>
      <c r="C67" s="11"/>
      <c r="D67" s="7">
        <v>3410.52</v>
      </c>
      <c r="E67" s="2"/>
      <c r="F67" s="6">
        <f t="shared" si="24"/>
        <v>0</v>
      </c>
      <c r="G67" s="2"/>
      <c r="H67" s="7">
        <v>833</v>
      </c>
      <c r="I67" s="2"/>
      <c r="J67" s="6">
        <f t="shared" si="25"/>
        <v>0</v>
      </c>
      <c r="K67" s="2"/>
      <c r="L67" s="7">
        <f t="shared" si="26"/>
        <v>2577.52</v>
      </c>
      <c r="M67" s="2"/>
      <c r="N67" s="6">
        <f t="shared" si="27"/>
        <v>3.0942617046818728</v>
      </c>
      <c r="O67" s="11"/>
      <c r="P67" s="7">
        <v>6359.37</v>
      </c>
      <c r="Q67" s="2"/>
      <c r="R67" s="6">
        <f t="shared" si="28"/>
        <v>0</v>
      </c>
      <c r="S67" s="2"/>
      <c r="T67" s="7">
        <v>3332</v>
      </c>
      <c r="U67" s="2"/>
      <c r="V67" s="6">
        <f t="shared" si="29"/>
        <v>0</v>
      </c>
      <c r="W67" s="2"/>
      <c r="X67" s="7">
        <f t="shared" si="30"/>
        <v>3027.37</v>
      </c>
      <c r="Y67" s="2"/>
      <c r="Z67" s="6">
        <f t="shared" si="31"/>
        <v>0.90857442977190872</v>
      </c>
    </row>
    <row r="68" spans="1:26" s="28" customFormat="1" outlineLevel="1" collapsed="1" x14ac:dyDescent="0.25">
      <c r="A68" s="29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SUM(OSRRefD22_13x_0)</f>
        <v>20473.939999999999</v>
      </c>
      <c r="E68" s="1"/>
      <c r="F68" s="5">
        <f t="shared" ref="F68:F72" si="32">IF(D$12=0,0,D68/D$12)</f>
        <v>0</v>
      </c>
      <c r="G68" s="1"/>
      <c r="H68" s="1">
        <f>SUM(OSRRefH22_13x_0)</f>
        <v>22307</v>
      </c>
      <c r="I68" s="1"/>
      <c r="J68" s="5">
        <f t="shared" ref="J68:J72" si="33">IF(H$12=0,0,H68/H$12)</f>
        <v>0</v>
      </c>
      <c r="K68" s="1"/>
      <c r="L68" s="1">
        <f t="shared" ref="L68:L72" si="34">+D68-H68</f>
        <v>-1833.0600000000013</v>
      </c>
      <c r="M68" s="1"/>
      <c r="N68" s="5">
        <f t="shared" ref="N68:N72" si="35">IF(H68=0,0,L68/H68)</f>
        <v>-8.217420540637474E-2</v>
      </c>
      <c r="O68" s="14"/>
      <c r="P68" s="1">
        <f>SUM(OSRRefP22_13x_0)</f>
        <v>71747.05</v>
      </c>
      <c r="Q68" s="1"/>
      <c r="R68" s="5">
        <f t="shared" ref="R68:R72" si="36">IF(P$12=0,0,P68/P$12)</f>
        <v>0</v>
      </c>
      <c r="S68" s="1"/>
      <c r="T68" s="1">
        <f>SUM(OSRRefT22_13x_0)</f>
        <v>90828</v>
      </c>
      <c r="U68" s="1"/>
      <c r="V68" s="5">
        <f t="shared" ref="V68:V72" si="37">IF(T$12=0,0,T68/T$12)</f>
        <v>0</v>
      </c>
      <c r="W68" s="1"/>
      <c r="X68" s="1">
        <f t="shared" ref="X68:X72" si="38">+P68-T68</f>
        <v>-19080.949999999997</v>
      </c>
      <c r="Y68" s="1"/>
      <c r="Z68" s="5">
        <f t="shared" ref="Z68:Z72" si="39">IF(T68=0,0,X68/T68)</f>
        <v>-0.210077839432774</v>
      </c>
    </row>
    <row r="69" spans="1:26" s="24" customFormat="1" hidden="1" outlineLevel="2" x14ac:dyDescent="0.25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7">
        <v>6247.84</v>
      </c>
      <c r="E69" s="2"/>
      <c r="F69" s="6">
        <f t="shared" si="32"/>
        <v>0</v>
      </c>
      <c r="G69" s="2"/>
      <c r="H69" s="7">
        <v>9600</v>
      </c>
      <c r="I69" s="2"/>
      <c r="J69" s="6">
        <f t="shared" si="33"/>
        <v>0</v>
      </c>
      <c r="K69" s="2"/>
      <c r="L69" s="7">
        <f t="shared" si="34"/>
        <v>-3352.16</v>
      </c>
      <c r="M69" s="2"/>
      <c r="N69" s="6">
        <f t="shared" si="35"/>
        <v>-0.34918333333333335</v>
      </c>
      <c r="O69" s="11"/>
      <c r="P69" s="7">
        <v>21721.29</v>
      </c>
      <c r="Q69" s="2"/>
      <c r="R69" s="6">
        <f t="shared" si="36"/>
        <v>0</v>
      </c>
      <c r="S69" s="2"/>
      <c r="T69" s="7">
        <v>38400</v>
      </c>
      <c r="U69" s="2"/>
      <c r="V69" s="6">
        <f t="shared" si="37"/>
        <v>0</v>
      </c>
      <c r="W69" s="2"/>
      <c r="X69" s="7">
        <f t="shared" si="38"/>
        <v>-16678.71</v>
      </c>
      <c r="Y69" s="2"/>
      <c r="Z69" s="6">
        <f t="shared" si="39"/>
        <v>-0.43434140624999995</v>
      </c>
    </row>
    <row r="70" spans="1:26" s="24" customFormat="1" hidden="1" outlineLevel="2" x14ac:dyDescent="0.25">
      <c r="A70" s="27"/>
      <c r="B70" s="11" t="str">
        <f>CONCATENATE("          ", "6372", " - ", "COMPUTER HARDWARE MAINTENANCE")</f>
        <v xml:space="preserve">          6372 - COMPUTER HARDWARE MAINTENANCE</v>
      </c>
      <c r="C70" s="11"/>
      <c r="D70" s="7">
        <v>1008.07</v>
      </c>
      <c r="E70" s="2"/>
      <c r="F70" s="6">
        <f t="shared" si="32"/>
        <v>0</v>
      </c>
      <c r="G70" s="2"/>
      <c r="H70" s="7">
        <v>0</v>
      </c>
      <c r="I70" s="2"/>
      <c r="J70" s="6">
        <f t="shared" si="33"/>
        <v>0</v>
      </c>
      <c r="K70" s="2"/>
      <c r="L70" s="7">
        <f t="shared" si="34"/>
        <v>1008.07</v>
      </c>
      <c r="M70" s="2"/>
      <c r="N70" s="6">
        <f t="shared" si="35"/>
        <v>0</v>
      </c>
      <c r="O70" s="11"/>
      <c r="P70" s="7">
        <v>1008.07</v>
      </c>
      <c r="Q70" s="2"/>
      <c r="R70" s="6">
        <f t="shared" si="36"/>
        <v>0</v>
      </c>
      <c r="S70" s="2"/>
      <c r="T70" s="7">
        <v>3000</v>
      </c>
      <c r="U70" s="2"/>
      <c r="V70" s="6">
        <f t="shared" si="37"/>
        <v>0</v>
      </c>
      <c r="W70" s="2"/>
      <c r="X70" s="7">
        <f t="shared" si="38"/>
        <v>-1991.9299999999998</v>
      </c>
      <c r="Y70" s="2"/>
      <c r="Z70" s="6">
        <f t="shared" si="39"/>
        <v>-0.66397666666666666</v>
      </c>
    </row>
    <row r="71" spans="1:26" s="24" customFormat="1" hidden="1" outlineLevel="2" x14ac:dyDescent="0.25">
      <c r="A71" s="27"/>
      <c r="B71" s="11" t="str">
        <f>CONCATENATE("          ", "6373", " - ", "MAINTENANCE CONTRACTS")</f>
        <v xml:space="preserve">          6373 - MAINTENANCE CONTRACTS</v>
      </c>
      <c r="C71" s="11"/>
      <c r="D71" s="7">
        <v>13145.19</v>
      </c>
      <c r="E71" s="2"/>
      <c r="F71" s="6">
        <f t="shared" si="32"/>
        <v>0</v>
      </c>
      <c r="G71" s="2"/>
      <c r="H71" s="7">
        <v>12557</v>
      </c>
      <c r="I71" s="2"/>
      <c r="J71" s="6">
        <f t="shared" si="33"/>
        <v>0</v>
      </c>
      <c r="K71" s="2"/>
      <c r="L71" s="7">
        <f t="shared" si="34"/>
        <v>588.19000000000051</v>
      </c>
      <c r="M71" s="2"/>
      <c r="N71" s="6">
        <f t="shared" si="35"/>
        <v>4.6841602293541493E-2</v>
      </c>
      <c r="O71" s="11"/>
      <c r="P71" s="7">
        <v>47178.42</v>
      </c>
      <c r="Q71" s="2"/>
      <c r="R71" s="6">
        <f t="shared" si="36"/>
        <v>0</v>
      </c>
      <c r="S71" s="2"/>
      <c r="T71" s="7">
        <v>48828</v>
      </c>
      <c r="U71" s="2"/>
      <c r="V71" s="6">
        <f t="shared" si="37"/>
        <v>0</v>
      </c>
      <c r="W71" s="2"/>
      <c r="X71" s="7">
        <f t="shared" si="38"/>
        <v>-1649.5800000000017</v>
      </c>
      <c r="Y71" s="2"/>
      <c r="Z71" s="6">
        <f t="shared" si="39"/>
        <v>-3.3783484885721346E-2</v>
      </c>
    </row>
    <row r="72" spans="1:26" s="24" customFormat="1" hidden="1" outlineLevel="2" x14ac:dyDescent="0.25">
      <c r="A72" s="27"/>
      <c r="B72" s="11" t="str">
        <f>CONCATENATE("          ", "6375", " - ", "OUTSIDE REPAIRS &amp; MAINTENANCE")</f>
        <v xml:space="preserve">          6375 - OUTSIDE REPAIRS &amp; MAINTENANCE</v>
      </c>
      <c r="C72" s="11"/>
      <c r="D72" s="7">
        <v>72.84</v>
      </c>
      <c r="E72" s="2"/>
      <c r="F72" s="6">
        <f t="shared" si="32"/>
        <v>0</v>
      </c>
      <c r="G72" s="2"/>
      <c r="H72" s="7">
        <v>150</v>
      </c>
      <c r="I72" s="2"/>
      <c r="J72" s="6">
        <f t="shared" si="33"/>
        <v>0</v>
      </c>
      <c r="K72" s="2"/>
      <c r="L72" s="7">
        <f t="shared" si="34"/>
        <v>-77.16</v>
      </c>
      <c r="M72" s="2"/>
      <c r="N72" s="6">
        <f t="shared" si="35"/>
        <v>-0.51439999999999997</v>
      </c>
      <c r="O72" s="11"/>
      <c r="P72" s="7">
        <v>1839.27</v>
      </c>
      <c r="Q72" s="2"/>
      <c r="R72" s="6">
        <f t="shared" si="36"/>
        <v>0</v>
      </c>
      <c r="S72" s="2"/>
      <c r="T72" s="7">
        <v>600</v>
      </c>
      <c r="U72" s="2"/>
      <c r="V72" s="6">
        <f t="shared" si="37"/>
        <v>0</v>
      </c>
      <c r="W72" s="2"/>
      <c r="X72" s="7">
        <f t="shared" si="38"/>
        <v>1239.27</v>
      </c>
      <c r="Y72" s="2"/>
      <c r="Z72" s="6">
        <f t="shared" si="39"/>
        <v>2.0654499999999998</v>
      </c>
    </row>
    <row r="73" spans="1:26" s="28" customFormat="1" outlineLevel="1" collapsed="1" x14ac:dyDescent="0.25">
      <c r="A73" s="29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SUM(OSRRefD22_14x_0)</f>
        <v>657.38</v>
      </c>
      <c r="E73" s="1"/>
      <c r="F73" s="5">
        <f t="shared" ref="F73:F75" si="40">IF(D$12=0,0,D73/D$12)</f>
        <v>0</v>
      </c>
      <c r="G73" s="1"/>
      <c r="H73" s="1">
        <f>SUM(OSRRefH22_14x_0)</f>
        <v>650</v>
      </c>
      <c r="I73" s="1"/>
      <c r="J73" s="5">
        <f t="shared" ref="J73:J75" si="41">IF(H$12=0,0,H73/H$12)</f>
        <v>0</v>
      </c>
      <c r="K73" s="1"/>
      <c r="L73" s="1">
        <f t="shared" ref="L73:L75" si="42">+D73-H73</f>
        <v>7.3799999999999955</v>
      </c>
      <c r="M73" s="1"/>
      <c r="N73" s="5">
        <f t="shared" ref="N73:N75" si="43">IF(H73=0,0,L73/H73)</f>
        <v>1.1353846153846147E-2</v>
      </c>
      <c r="O73" s="14"/>
      <c r="P73" s="1">
        <f>SUM(OSRRefP22_14x_0)</f>
        <v>2682.65</v>
      </c>
      <c r="Q73" s="1"/>
      <c r="R73" s="5">
        <f t="shared" ref="R73:R75" si="44">IF(P$12=0,0,P73/P$12)</f>
        <v>0</v>
      </c>
      <c r="S73" s="1"/>
      <c r="T73" s="1">
        <f>SUM(OSRRefT22_14x_0)</f>
        <v>2600</v>
      </c>
      <c r="U73" s="1"/>
      <c r="V73" s="5">
        <f t="shared" ref="V73:V75" si="45">IF(T$12=0,0,T73/T$12)</f>
        <v>0</v>
      </c>
      <c r="W73" s="1"/>
      <c r="X73" s="1">
        <f t="shared" ref="X73:X75" si="46">+P73-T73</f>
        <v>82.650000000000091</v>
      </c>
      <c r="Y73" s="1"/>
      <c r="Z73" s="5">
        <f t="shared" ref="Z73:Z75" si="47">IF(T73=0,0,X73/T73)</f>
        <v>3.1788461538461571E-2</v>
      </c>
    </row>
    <row r="74" spans="1:26" s="24" customFormat="1" hidden="1" outlineLevel="2" x14ac:dyDescent="0.25">
      <c r="A74" s="27"/>
      <c r="B74" s="11" t="str">
        <f>CONCATENATE("          ", "6281", " - ", "STORAGE FEE")</f>
        <v xml:space="preserve">          6281 - STORAGE FEE</v>
      </c>
      <c r="C74" s="11"/>
      <c r="D74" s="7">
        <v>657.38</v>
      </c>
      <c r="E74" s="2"/>
      <c r="F74" s="6">
        <f t="shared" si="40"/>
        <v>0</v>
      </c>
      <c r="G74" s="2"/>
      <c r="H74" s="7">
        <v>625</v>
      </c>
      <c r="I74" s="2"/>
      <c r="J74" s="6">
        <f t="shared" si="41"/>
        <v>0</v>
      </c>
      <c r="K74" s="2"/>
      <c r="L74" s="7">
        <f t="shared" si="42"/>
        <v>32.379999999999995</v>
      </c>
      <c r="M74" s="2"/>
      <c r="N74" s="6">
        <f t="shared" si="43"/>
        <v>5.1807999999999993E-2</v>
      </c>
      <c r="O74" s="11"/>
      <c r="P74" s="7">
        <v>2682.65</v>
      </c>
      <c r="Q74" s="2"/>
      <c r="R74" s="6">
        <f t="shared" si="44"/>
        <v>0</v>
      </c>
      <c r="S74" s="2"/>
      <c r="T74" s="7">
        <v>2500</v>
      </c>
      <c r="U74" s="2"/>
      <c r="V74" s="6">
        <f t="shared" si="45"/>
        <v>0</v>
      </c>
      <c r="W74" s="2"/>
      <c r="X74" s="7">
        <f t="shared" si="46"/>
        <v>182.65000000000009</v>
      </c>
      <c r="Y74" s="2"/>
      <c r="Z74" s="6">
        <f t="shared" si="47"/>
        <v>7.3060000000000042E-2</v>
      </c>
    </row>
    <row r="75" spans="1:26" s="24" customFormat="1" hidden="1" outlineLevel="2" x14ac:dyDescent="0.25">
      <c r="A75" s="27"/>
      <c r="B75" s="11" t="str">
        <f>CONCATENATE("          ", "6286", " - ", "LAUNDRY EXPENSE")</f>
        <v xml:space="preserve">          6286 - LAUNDRY EXPENSE</v>
      </c>
      <c r="C75" s="11"/>
      <c r="D75" s="7"/>
      <c r="E75" s="2"/>
      <c r="F75" s="6">
        <f t="shared" si="40"/>
        <v>0</v>
      </c>
      <c r="G75" s="2"/>
      <c r="H75" s="7">
        <v>25</v>
      </c>
      <c r="I75" s="2"/>
      <c r="J75" s="6">
        <f t="shared" si="41"/>
        <v>0</v>
      </c>
      <c r="K75" s="2"/>
      <c r="L75" s="7">
        <f t="shared" si="42"/>
        <v>-25</v>
      </c>
      <c r="M75" s="2"/>
      <c r="N75" s="6">
        <f t="shared" si="43"/>
        <v>-1</v>
      </c>
      <c r="O75" s="11"/>
      <c r="P75" s="7"/>
      <c r="Q75" s="2"/>
      <c r="R75" s="6">
        <f t="shared" si="44"/>
        <v>0</v>
      </c>
      <c r="S75" s="2"/>
      <c r="T75" s="7">
        <v>100</v>
      </c>
      <c r="U75" s="2"/>
      <c r="V75" s="6">
        <f t="shared" si="45"/>
        <v>0</v>
      </c>
      <c r="W75" s="2"/>
      <c r="X75" s="7">
        <f t="shared" si="46"/>
        <v>-100</v>
      </c>
      <c r="Y75" s="2"/>
      <c r="Z75" s="6">
        <f t="shared" si="47"/>
        <v>-1</v>
      </c>
    </row>
    <row r="76" spans="1:26" s="28" customFormat="1" outlineLevel="1" collapsed="1" x14ac:dyDescent="0.25">
      <c r="A76" s="29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SUM(OSRRefD22_15x_0)</f>
        <v>438</v>
      </c>
      <c r="E76" s="1"/>
      <c r="F76" s="5">
        <f t="shared" ref="F76:F84" si="48">IF(D$12=0,0,D76/D$12)</f>
        <v>0</v>
      </c>
      <c r="G76" s="1"/>
      <c r="H76" s="1">
        <f>SUM(OSRRefH22_15x_0)</f>
        <v>1000</v>
      </c>
      <c r="I76" s="1"/>
      <c r="J76" s="5">
        <f t="shared" ref="J76:J84" si="49">IF(H$12=0,0,H76/H$12)</f>
        <v>0</v>
      </c>
      <c r="K76" s="1"/>
      <c r="L76" s="1">
        <f t="shared" ref="L76:L84" si="50">+D76-H76</f>
        <v>-562</v>
      </c>
      <c r="M76" s="1"/>
      <c r="N76" s="5">
        <f t="shared" ref="N76:N84" si="51">IF(H76=0,0,L76/H76)</f>
        <v>-0.56200000000000006</v>
      </c>
      <c r="O76" s="14"/>
      <c r="P76" s="1">
        <f>SUM(OSRRefP22_15x_0)</f>
        <v>1657</v>
      </c>
      <c r="Q76" s="1"/>
      <c r="R76" s="5">
        <f t="shared" ref="R76:R84" si="52">IF(P$12=0,0,P76/P$12)</f>
        <v>0</v>
      </c>
      <c r="S76" s="1"/>
      <c r="T76" s="1">
        <f>SUM(OSRRefT22_15x_0)</f>
        <v>2975</v>
      </c>
      <c r="U76" s="1"/>
      <c r="V76" s="5">
        <f t="shared" ref="V76:V84" si="53">IF(T$12=0,0,T76/T$12)</f>
        <v>0</v>
      </c>
      <c r="W76" s="1"/>
      <c r="X76" s="1">
        <f t="shared" ref="X76:X84" si="54">+P76-T76</f>
        <v>-1318</v>
      </c>
      <c r="Y76" s="1"/>
      <c r="Z76" s="5">
        <f t="shared" ref="Z76:Z84" si="55">IF(T76=0,0,X76/T76)</f>
        <v>-0.44302521008403362</v>
      </c>
    </row>
    <row r="77" spans="1:26" s="24" customFormat="1" hidden="1" outlineLevel="2" x14ac:dyDescent="0.25">
      <c r="A77" s="27"/>
      <c r="B77" s="11" t="str">
        <f>CONCATENATE("          ", "6258", " - ", "MEMBERSHIP DUES")</f>
        <v xml:space="preserve">          6258 - MEMBERSHIP DUES</v>
      </c>
      <c r="C77" s="11"/>
      <c r="D77" s="7">
        <v>438</v>
      </c>
      <c r="E77" s="2"/>
      <c r="F77" s="6">
        <f t="shared" si="48"/>
        <v>0</v>
      </c>
      <c r="G77" s="2"/>
      <c r="H77" s="7">
        <v>1000</v>
      </c>
      <c r="I77" s="2"/>
      <c r="J77" s="6">
        <f t="shared" si="49"/>
        <v>0</v>
      </c>
      <c r="K77" s="2"/>
      <c r="L77" s="7">
        <f t="shared" si="50"/>
        <v>-562</v>
      </c>
      <c r="M77" s="2"/>
      <c r="N77" s="6">
        <f t="shared" si="51"/>
        <v>-0.56200000000000006</v>
      </c>
      <c r="O77" s="11"/>
      <c r="P77" s="7">
        <v>1657</v>
      </c>
      <c r="Q77" s="2"/>
      <c r="R77" s="6">
        <f t="shared" si="52"/>
        <v>0</v>
      </c>
      <c r="S77" s="2"/>
      <c r="T77" s="7">
        <v>2975</v>
      </c>
      <c r="U77" s="2"/>
      <c r="V77" s="6">
        <f t="shared" si="53"/>
        <v>0</v>
      </c>
      <c r="W77" s="2"/>
      <c r="X77" s="7">
        <f t="shared" si="54"/>
        <v>-1318</v>
      </c>
      <c r="Y77" s="2"/>
      <c r="Z77" s="6">
        <f t="shared" si="55"/>
        <v>-0.44302521008403362</v>
      </c>
    </row>
    <row r="78" spans="1:26" s="28" customFormat="1" outlineLevel="1" collapsed="1" x14ac:dyDescent="0.25">
      <c r="A78" s="29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SUM(OSRRefD22_16x_0)</f>
        <v>3300.55</v>
      </c>
      <c r="E78" s="1"/>
      <c r="F78" s="5">
        <f t="shared" si="48"/>
        <v>0</v>
      </c>
      <c r="G78" s="1"/>
      <c r="H78" s="1">
        <f>SUM(OSRRefH22_16x_0)</f>
        <v>2784</v>
      </c>
      <c r="I78" s="1"/>
      <c r="J78" s="5">
        <f t="shared" si="49"/>
        <v>0</v>
      </c>
      <c r="K78" s="1"/>
      <c r="L78" s="1">
        <f t="shared" si="50"/>
        <v>516.55000000000018</v>
      </c>
      <c r="M78" s="1"/>
      <c r="N78" s="5">
        <f t="shared" si="51"/>
        <v>0.18554238505747134</v>
      </c>
      <c r="O78" s="14"/>
      <c r="P78" s="1">
        <f>SUM(OSRRefP22_16x_0)</f>
        <v>9878.73</v>
      </c>
      <c r="Q78" s="1"/>
      <c r="R78" s="5">
        <f t="shared" si="52"/>
        <v>0</v>
      </c>
      <c r="S78" s="1"/>
      <c r="T78" s="1">
        <f>SUM(OSRRefT22_16x_0)</f>
        <v>16136</v>
      </c>
      <c r="U78" s="1"/>
      <c r="V78" s="5">
        <f t="shared" si="53"/>
        <v>0</v>
      </c>
      <c r="W78" s="1"/>
      <c r="X78" s="1">
        <f t="shared" si="54"/>
        <v>-6257.27</v>
      </c>
      <c r="Y78" s="1"/>
      <c r="Z78" s="5">
        <f t="shared" si="55"/>
        <v>-0.38778321764997525</v>
      </c>
    </row>
    <row r="79" spans="1:26" s="24" customFormat="1" hidden="1" outlineLevel="2" x14ac:dyDescent="0.25">
      <c r="A79" s="27"/>
      <c r="B79" s="11" t="str">
        <f>CONCATENATE("          ", "6234", " - ", "EXPENDABLE SUPPLIES &amp; EQUIPMEN")</f>
        <v xml:space="preserve">          6234 - EXPENDABLE SUPPLIES &amp; EQUIPMEN</v>
      </c>
      <c r="C79" s="11"/>
      <c r="D79" s="7"/>
      <c r="E79" s="2"/>
      <c r="F79" s="6">
        <f t="shared" si="48"/>
        <v>0</v>
      </c>
      <c r="G79" s="2"/>
      <c r="H79" s="7">
        <v>125</v>
      </c>
      <c r="I79" s="2"/>
      <c r="J79" s="6">
        <f t="shared" si="49"/>
        <v>0</v>
      </c>
      <c r="K79" s="2"/>
      <c r="L79" s="7">
        <f t="shared" si="50"/>
        <v>-125</v>
      </c>
      <c r="M79" s="2"/>
      <c r="N79" s="6">
        <f t="shared" si="51"/>
        <v>-1</v>
      </c>
      <c r="O79" s="11"/>
      <c r="P79" s="7">
        <v>26.1</v>
      </c>
      <c r="Q79" s="2"/>
      <c r="R79" s="6">
        <f t="shared" si="52"/>
        <v>0</v>
      </c>
      <c r="S79" s="2"/>
      <c r="T79" s="7">
        <v>500</v>
      </c>
      <c r="U79" s="2"/>
      <c r="V79" s="6">
        <f t="shared" si="53"/>
        <v>0</v>
      </c>
      <c r="W79" s="2"/>
      <c r="X79" s="7">
        <f t="shared" si="54"/>
        <v>-473.9</v>
      </c>
      <c r="Y79" s="2"/>
      <c r="Z79" s="6">
        <f t="shared" si="55"/>
        <v>-0.94779999999999998</v>
      </c>
    </row>
    <row r="80" spans="1:26" s="24" customFormat="1" hidden="1" outlineLevel="2" x14ac:dyDescent="0.25">
      <c r="A80" s="27"/>
      <c r="B80" s="11" t="str">
        <f>CONCATENATE("          ", "6235", " - ", "COVID-19 EXPENSES")</f>
        <v xml:space="preserve">          6235 - COVID-19 EXPENSES</v>
      </c>
      <c r="C80" s="11"/>
      <c r="D80" s="7"/>
      <c r="E80" s="2"/>
      <c r="F80" s="6">
        <f t="shared" si="48"/>
        <v>0</v>
      </c>
      <c r="G80" s="2"/>
      <c r="H80" s="7"/>
      <c r="I80" s="2"/>
      <c r="J80" s="6">
        <f t="shared" si="49"/>
        <v>0</v>
      </c>
      <c r="K80" s="2"/>
      <c r="L80" s="7">
        <f t="shared" si="50"/>
        <v>0</v>
      </c>
      <c r="M80" s="2"/>
      <c r="N80" s="6">
        <f t="shared" si="51"/>
        <v>0</v>
      </c>
      <c r="O80" s="11"/>
      <c r="P80" s="7">
        <v>2447.77</v>
      </c>
      <c r="Q80" s="2"/>
      <c r="R80" s="6">
        <f t="shared" si="52"/>
        <v>0</v>
      </c>
      <c r="S80" s="2"/>
      <c r="T80" s="7"/>
      <c r="U80" s="2"/>
      <c r="V80" s="6">
        <f t="shared" si="53"/>
        <v>0</v>
      </c>
      <c r="W80" s="2"/>
      <c r="X80" s="7">
        <f t="shared" si="54"/>
        <v>2447.77</v>
      </c>
      <c r="Y80" s="2"/>
      <c r="Z80" s="6">
        <f t="shared" si="55"/>
        <v>0</v>
      </c>
    </row>
    <row r="81" spans="1:26" s="24" customFormat="1" hidden="1" outlineLevel="2" x14ac:dyDescent="0.25">
      <c r="A81" s="27"/>
      <c r="B81" s="11" t="str">
        <f>CONCATENATE("          ", "6241", " - ", "OFFICE EXPENSE")</f>
        <v xml:space="preserve">          6241 - OFFICE EXPENSE</v>
      </c>
      <c r="C81" s="11"/>
      <c r="D81" s="7">
        <v>1552.55</v>
      </c>
      <c r="E81" s="2"/>
      <c r="F81" s="6">
        <f t="shared" si="48"/>
        <v>0</v>
      </c>
      <c r="G81" s="2"/>
      <c r="H81" s="7">
        <v>2242</v>
      </c>
      <c r="I81" s="2"/>
      <c r="J81" s="6">
        <f t="shared" si="49"/>
        <v>0</v>
      </c>
      <c r="K81" s="2"/>
      <c r="L81" s="7">
        <f t="shared" si="50"/>
        <v>-689.45</v>
      </c>
      <c r="M81" s="2"/>
      <c r="N81" s="6">
        <f t="shared" si="51"/>
        <v>-0.30751561106155223</v>
      </c>
      <c r="O81" s="11"/>
      <c r="P81" s="7">
        <v>4070.17</v>
      </c>
      <c r="Q81" s="2"/>
      <c r="R81" s="6">
        <f t="shared" si="52"/>
        <v>0</v>
      </c>
      <c r="S81" s="2"/>
      <c r="T81" s="7">
        <v>8968</v>
      </c>
      <c r="U81" s="2"/>
      <c r="V81" s="6">
        <f t="shared" si="53"/>
        <v>0</v>
      </c>
      <c r="W81" s="2"/>
      <c r="X81" s="7">
        <f t="shared" si="54"/>
        <v>-4897.83</v>
      </c>
      <c r="Y81" s="2"/>
      <c r="Z81" s="6">
        <f t="shared" si="55"/>
        <v>-0.5461451828724353</v>
      </c>
    </row>
    <row r="82" spans="1:26" s="24" customFormat="1" hidden="1" outlineLevel="2" x14ac:dyDescent="0.25">
      <c r="A82" s="27"/>
      <c r="B82" s="11" t="str">
        <f>CONCATENATE("          ", "6244", " - ", "SAFETY SUPPLY EXPENSE")</f>
        <v xml:space="preserve">          6244 - SAFETY SUPPLY EXPENSE</v>
      </c>
      <c r="C82" s="11"/>
      <c r="D82" s="7">
        <v>175</v>
      </c>
      <c r="E82" s="2"/>
      <c r="F82" s="6">
        <f t="shared" si="48"/>
        <v>0</v>
      </c>
      <c r="G82" s="2"/>
      <c r="H82" s="7">
        <v>417</v>
      </c>
      <c r="I82" s="2"/>
      <c r="J82" s="6">
        <f t="shared" si="49"/>
        <v>0</v>
      </c>
      <c r="K82" s="2"/>
      <c r="L82" s="7">
        <f t="shared" si="50"/>
        <v>-242</v>
      </c>
      <c r="M82" s="2"/>
      <c r="N82" s="6">
        <f t="shared" si="51"/>
        <v>-0.58033573141486805</v>
      </c>
      <c r="O82" s="11"/>
      <c r="P82" s="7">
        <v>550</v>
      </c>
      <c r="Q82" s="2"/>
      <c r="R82" s="6">
        <f t="shared" si="52"/>
        <v>0</v>
      </c>
      <c r="S82" s="2"/>
      <c r="T82" s="7">
        <v>1668</v>
      </c>
      <c r="U82" s="2"/>
      <c r="V82" s="6">
        <f t="shared" si="53"/>
        <v>0</v>
      </c>
      <c r="W82" s="2"/>
      <c r="X82" s="7">
        <f t="shared" si="54"/>
        <v>-1118</v>
      </c>
      <c r="Y82" s="2"/>
      <c r="Z82" s="6">
        <f t="shared" si="55"/>
        <v>-0.67026378896882499</v>
      </c>
    </row>
    <row r="83" spans="1:26" s="24" customFormat="1" hidden="1" outlineLevel="2" x14ac:dyDescent="0.25">
      <c r="A83" s="27"/>
      <c r="B83" s="11" t="str">
        <f>CONCATENATE("          ", "6247", " - ", "STORE SUPPLIES")</f>
        <v xml:space="preserve">          6247 - STORE SUPPLIES</v>
      </c>
      <c r="C83" s="11"/>
      <c r="D83" s="7"/>
      <c r="E83" s="2"/>
      <c r="F83" s="6">
        <f t="shared" si="48"/>
        <v>0</v>
      </c>
      <c r="G83" s="2"/>
      <c r="H83" s="7"/>
      <c r="I83" s="2"/>
      <c r="J83" s="6">
        <f t="shared" si="49"/>
        <v>0</v>
      </c>
      <c r="K83" s="2"/>
      <c r="L83" s="7">
        <f t="shared" si="50"/>
        <v>0</v>
      </c>
      <c r="M83" s="2"/>
      <c r="N83" s="6">
        <f t="shared" si="51"/>
        <v>0</v>
      </c>
      <c r="O83" s="11"/>
      <c r="P83" s="7"/>
      <c r="Q83" s="2"/>
      <c r="R83" s="6">
        <f t="shared" si="52"/>
        <v>0</v>
      </c>
      <c r="S83" s="2"/>
      <c r="T83" s="7">
        <v>5000</v>
      </c>
      <c r="U83" s="2"/>
      <c r="V83" s="6">
        <f t="shared" si="53"/>
        <v>0</v>
      </c>
      <c r="W83" s="2"/>
      <c r="X83" s="7">
        <f t="shared" si="54"/>
        <v>-5000</v>
      </c>
      <c r="Y83" s="2"/>
      <c r="Z83" s="6">
        <f t="shared" si="55"/>
        <v>-1</v>
      </c>
    </row>
    <row r="84" spans="1:26" s="24" customFormat="1" hidden="1" outlineLevel="2" x14ac:dyDescent="0.25">
      <c r="A84" s="27"/>
      <c r="B84" s="11" t="str">
        <f>CONCATENATE("          ", "6248", " - ", "UNIFORMS")</f>
        <v xml:space="preserve">          6248 - UNIFORMS</v>
      </c>
      <c r="C84" s="11"/>
      <c r="D84" s="7">
        <v>1573</v>
      </c>
      <c r="E84" s="2"/>
      <c r="F84" s="6">
        <f t="shared" si="48"/>
        <v>0</v>
      </c>
      <c r="G84" s="2"/>
      <c r="H84" s="7"/>
      <c r="I84" s="2"/>
      <c r="J84" s="6">
        <f t="shared" si="49"/>
        <v>0</v>
      </c>
      <c r="K84" s="2"/>
      <c r="L84" s="7">
        <f t="shared" si="50"/>
        <v>1573</v>
      </c>
      <c r="M84" s="2"/>
      <c r="N84" s="6">
        <f t="shared" si="51"/>
        <v>0</v>
      </c>
      <c r="O84" s="11"/>
      <c r="P84" s="7">
        <v>2784.69</v>
      </c>
      <c r="Q84" s="2"/>
      <c r="R84" s="6">
        <f t="shared" si="52"/>
        <v>0</v>
      </c>
      <c r="S84" s="2"/>
      <c r="T84" s="7"/>
      <c r="U84" s="2"/>
      <c r="V84" s="6">
        <f t="shared" si="53"/>
        <v>0</v>
      </c>
      <c r="W84" s="2"/>
      <c r="X84" s="7">
        <f t="shared" si="54"/>
        <v>2784.69</v>
      </c>
      <c r="Y84" s="2"/>
      <c r="Z84" s="6">
        <f t="shared" si="55"/>
        <v>0</v>
      </c>
    </row>
    <row r="85" spans="1:26" s="28" customFormat="1" outlineLevel="1" collapsed="1" x14ac:dyDescent="0.25">
      <c r="A85" s="29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SUM(OSRRefD22_17x_0)</f>
        <v>3309.04</v>
      </c>
      <c r="E85" s="1"/>
      <c r="F85" s="5">
        <f t="shared" ref="F85:F87" si="56">IF(D$12=0,0,D85/D$12)</f>
        <v>0</v>
      </c>
      <c r="G85" s="1"/>
      <c r="H85" s="1">
        <f>SUM(OSRRefH22_17x_0)</f>
        <v>1805</v>
      </c>
      <c r="I85" s="1"/>
      <c r="J85" s="5">
        <f t="shared" ref="J85:J87" si="57">IF(H$12=0,0,H85/H$12)</f>
        <v>0</v>
      </c>
      <c r="K85" s="1"/>
      <c r="L85" s="1">
        <f t="shared" ref="L85:L87" si="58">+D85-H85</f>
        <v>1504.04</v>
      </c>
      <c r="M85" s="1"/>
      <c r="N85" s="5">
        <f t="shared" ref="N85:N87" si="59">IF(H85=0,0,L85/H85)</f>
        <v>0.83326315789473682</v>
      </c>
      <c r="O85" s="14"/>
      <c r="P85" s="1">
        <f>SUM(OSRRefP22_17x_0)</f>
        <v>9823.34</v>
      </c>
      <c r="Q85" s="1"/>
      <c r="R85" s="5">
        <f t="shared" ref="R85:R87" si="60">IF(P$12=0,0,P85/P$12)</f>
        <v>0</v>
      </c>
      <c r="S85" s="1"/>
      <c r="T85" s="1">
        <f>SUM(OSRRefT22_17x_0)</f>
        <v>7220</v>
      </c>
      <c r="U85" s="1"/>
      <c r="V85" s="5">
        <f t="shared" ref="V85:V87" si="61">IF(T$12=0,0,T85/T$12)</f>
        <v>0</v>
      </c>
      <c r="W85" s="1"/>
      <c r="X85" s="1">
        <f t="shared" ref="X85:X87" si="62">+P85-T85</f>
        <v>2603.34</v>
      </c>
      <c r="Y85" s="1"/>
      <c r="Z85" s="5">
        <f t="shared" ref="Z85:Z87" si="63">IF(T85=0,0,X85/T85)</f>
        <v>0.36057340720221609</v>
      </c>
    </row>
    <row r="86" spans="1:26" s="24" customFormat="1" hidden="1" outlineLevel="2" x14ac:dyDescent="0.25">
      <c r="A86" s="27"/>
      <c r="B86" s="11" t="str">
        <f>CONCATENATE("          ", "6303", " - ", "DATA PHONE LINES")</f>
        <v xml:space="preserve">          6303 - DATA PHONE LINES</v>
      </c>
      <c r="C86" s="11"/>
      <c r="D86" s="7">
        <v>332.96</v>
      </c>
      <c r="E86" s="2"/>
      <c r="F86" s="6">
        <f t="shared" si="56"/>
        <v>0</v>
      </c>
      <c r="G86" s="2"/>
      <c r="H86" s="7">
        <v>236</v>
      </c>
      <c r="I86" s="2"/>
      <c r="J86" s="6">
        <f t="shared" si="57"/>
        <v>0</v>
      </c>
      <c r="K86" s="2"/>
      <c r="L86" s="7">
        <f t="shared" si="58"/>
        <v>96.95999999999998</v>
      </c>
      <c r="M86" s="2"/>
      <c r="N86" s="6">
        <f t="shared" si="59"/>
        <v>0.41084745762711855</v>
      </c>
      <c r="O86" s="11"/>
      <c r="P86" s="7">
        <v>656.92</v>
      </c>
      <c r="Q86" s="2"/>
      <c r="R86" s="6">
        <f t="shared" si="60"/>
        <v>0</v>
      </c>
      <c r="S86" s="2"/>
      <c r="T86" s="7">
        <v>944</v>
      </c>
      <c r="U86" s="2"/>
      <c r="V86" s="6">
        <f t="shared" si="61"/>
        <v>0</v>
      </c>
      <c r="W86" s="2"/>
      <c r="X86" s="7">
        <f t="shared" si="62"/>
        <v>-287.08000000000004</v>
      </c>
      <c r="Y86" s="2"/>
      <c r="Z86" s="6">
        <f t="shared" si="63"/>
        <v>-0.30411016949152547</v>
      </c>
    </row>
    <row r="87" spans="1:26" s="24" customFormat="1" hidden="1" outlineLevel="2" x14ac:dyDescent="0.25">
      <c r="A87" s="27"/>
      <c r="B87" s="11" t="str">
        <f>CONCATENATE("          ", "6309", " - ", "TELEPHONE")</f>
        <v xml:space="preserve">          6309 - TELEPHONE</v>
      </c>
      <c r="C87" s="11"/>
      <c r="D87" s="7">
        <v>2976.08</v>
      </c>
      <c r="E87" s="2"/>
      <c r="F87" s="6">
        <f t="shared" si="56"/>
        <v>0</v>
      </c>
      <c r="G87" s="2"/>
      <c r="H87" s="7">
        <v>1569</v>
      </c>
      <c r="I87" s="2"/>
      <c r="J87" s="6">
        <f t="shared" si="57"/>
        <v>0</v>
      </c>
      <c r="K87" s="2"/>
      <c r="L87" s="7">
        <f t="shared" si="58"/>
        <v>1407.08</v>
      </c>
      <c r="M87" s="2"/>
      <c r="N87" s="6">
        <f t="shared" si="59"/>
        <v>0.8968005098789037</v>
      </c>
      <c r="O87" s="11"/>
      <c r="P87" s="7">
        <v>9166.42</v>
      </c>
      <c r="Q87" s="2"/>
      <c r="R87" s="6">
        <f t="shared" si="60"/>
        <v>0</v>
      </c>
      <c r="S87" s="2"/>
      <c r="T87" s="7">
        <v>6276</v>
      </c>
      <c r="U87" s="2"/>
      <c r="V87" s="6">
        <f t="shared" si="61"/>
        <v>0</v>
      </c>
      <c r="W87" s="2"/>
      <c r="X87" s="7">
        <f t="shared" si="62"/>
        <v>2890.42</v>
      </c>
      <c r="Y87" s="2"/>
      <c r="Z87" s="6">
        <f t="shared" si="63"/>
        <v>0.4605513065646909</v>
      </c>
    </row>
    <row r="88" spans="1:26" s="28" customFormat="1" outlineLevel="1" collapsed="1" x14ac:dyDescent="0.25">
      <c r="A88" s="29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SUM(OSRRefD22_18x_0)</f>
        <v>475</v>
      </c>
      <c r="E88" s="1"/>
      <c r="F88" s="5">
        <f t="shared" ref="F88:F91" si="64">IF(D$12=0,0,D88/D$12)</f>
        <v>0</v>
      </c>
      <c r="G88" s="1"/>
      <c r="H88" s="1">
        <f>SUM(OSRRefH22_18x_0)</f>
        <v>583</v>
      </c>
      <c r="I88" s="1"/>
      <c r="J88" s="5">
        <f t="shared" ref="J88:J91" si="65">IF(H$12=0,0,H88/H$12)</f>
        <v>0</v>
      </c>
      <c r="K88" s="1"/>
      <c r="L88" s="1">
        <f t="shared" ref="L88:L91" si="66">+D88-H88</f>
        <v>-108</v>
      </c>
      <c r="M88" s="1"/>
      <c r="N88" s="5">
        <f t="shared" ref="N88:N91" si="67">IF(H88=0,0,L88/H88)</f>
        <v>-0.18524871355060035</v>
      </c>
      <c r="O88" s="14"/>
      <c r="P88" s="1">
        <f>SUM(OSRRefP22_18x_0)</f>
        <v>1070</v>
      </c>
      <c r="Q88" s="1"/>
      <c r="R88" s="5">
        <f t="shared" ref="R88:R91" si="68">IF(P$12=0,0,P88/P$12)</f>
        <v>0</v>
      </c>
      <c r="S88" s="1"/>
      <c r="T88" s="1">
        <f>SUM(OSRRefT22_18x_0)</f>
        <v>2582</v>
      </c>
      <c r="U88" s="1"/>
      <c r="V88" s="5">
        <f t="shared" ref="V88:V91" si="69">IF(T$12=0,0,T88/T$12)</f>
        <v>0</v>
      </c>
      <c r="W88" s="1"/>
      <c r="X88" s="1">
        <f t="shared" ref="X88:X91" si="70">+P88-T88</f>
        <v>-1512</v>
      </c>
      <c r="Y88" s="1"/>
      <c r="Z88" s="5">
        <f t="shared" ref="Z88:Z91" si="71">IF(T88=0,0,X88/T88)</f>
        <v>-0.58559256390395042</v>
      </c>
    </row>
    <row r="89" spans="1:26" s="24" customFormat="1" hidden="1" outlineLevel="2" x14ac:dyDescent="0.25">
      <c r="A89" s="27"/>
      <c r="B89" s="11" t="str">
        <f>CONCATENATE("          ", "6376", " - ", "TRAINING")</f>
        <v xml:space="preserve">          6376 - TRAINING</v>
      </c>
      <c r="C89" s="11"/>
      <c r="D89" s="7">
        <v>475</v>
      </c>
      <c r="E89" s="2"/>
      <c r="F89" s="6">
        <f t="shared" si="64"/>
        <v>0</v>
      </c>
      <c r="G89" s="2"/>
      <c r="H89" s="7">
        <v>583</v>
      </c>
      <c r="I89" s="2"/>
      <c r="J89" s="6">
        <f t="shared" si="65"/>
        <v>0</v>
      </c>
      <c r="K89" s="2"/>
      <c r="L89" s="7">
        <f t="shared" si="66"/>
        <v>-108</v>
      </c>
      <c r="M89" s="2"/>
      <c r="N89" s="6">
        <f t="shared" si="67"/>
        <v>-0.18524871355060035</v>
      </c>
      <c r="O89" s="11"/>
      <c r="P89" s="7">
        <v>1070</v>
      </c>
      <c r="Q89" s="2"/>
      <c r="R89" s="6">
        <f t="shared" si="68"/>
        <v>0</v>
      </c>
      <c r="S89" s="2"/>
      <c r="T89" s="7">
        <v>2582</v>
      </c>
      <c r="U89" s="2"/>
      <c r="V89" s="6">
        <f t="shared" si="69"/>
        <v>0</v>
      </c>
      <c r="W89" s="2"/>
      <c r="X89" s="7">
        <f t="shared" si="70"/>
        <v>-1512</v>
      </c>
      <c r="Y89" s="2"/>
      <c r="Z89" s="6">
        <f t="shared" si="71"/>
        <v>-0.58559256390395042</v>
      </c>
    </row>
    <row r="90" spans="1:26" s="28" customFormat="1" outlineLevel="1" collapsed="1" x14ac:dyDescent="0.25">
      <c r="A90" s="29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SUM(OSRRefD22_19x_0)</f>
        <v>0</v>
      </c>
      <c r="E90" s="1"/>
      <c r="F90" s="5">
        <f t="shared" si="64"/>
        <v>0</v>
      </c>
      <c r="G90" s="1"/>
      <c r="H90" s="1">
        <f>SUM(OSRRefH22_19x_0)</f>
        <v>0</v>
      </c>
      <c r="I90" s="1"/>
      <c r="J90" s="5">
        <f t="shared" si="65"/>
        <v>0</v>
      </c>
      <c r="K90" s="1"/>
      <c r="L90" s="1">
        <f t="shared" si="66"/>
        <v>0</v>
      </c>
      <c r="M90" s="1"/>
      <c r="N90" s="5">
        <f t="shared" si="67"/>
        <v>0</v>
      </c>
      <c r="O90" s="14"/>
      <c r="P90" s="1">
        <f>SUM(OSRRefP22_19x_0)</f>
        <v>30.4</v>
      </c>
      <c r="Q90" s="1"/>
      <c r="R90" s="5">
        <f t="shared" si="68"/>
        <v>0</v>
      </c>
      <c r="S90" s="1"/>
      <c r="T90" s="1">
        <f>SUM(OSRRefT22_19x_0)</f>
        <v>0</v>
      </c>
      <c r="U90" s="1"/>
      <c r="V90" s="5">
        <f t="shared" si="69"/>
        <v>0</v>
      </c>
      <c r="W90" s="1"/>
      <c r="X90" s="1">
        <f t="shared" si="70"/>
        <v>30.4</v>
      </c>
      <c r="Y90" s="1"/>
      <c r="Z90" s="5">
        <f t="shared" si="71"/>
        <v>0</v>
      </c>
    </row>
    <row r="91" spans="1:26" s="24" customFormat="1" hidden="1" outlineLevel="2" x14ac:dyDescent="0.25">
      <c r="A91" s="27"/>
      <c r="B91" s="11" t="str">
        <f>CONCATENATE("          ", "6294", " - ", "TRAVEL OPERATIONAL")</f>
        <v xml:space="preserve">          6294 - TRAVEL OPERATIONAL</v>
      </c>
      <c r="C91" s="11"/>
      <c r="D91" s="7"/>
      <c r="E91" s="2"/>
      <c r="F91" s="6">
        <f t="shared" si="64"/>
        <v>0</v>
      </c>
      <c r="G91" s="2"/>
      <c r="H91" s="7"/>
      <c r="I91" s="2"/>
      <c r="J91" s="6">
        <f t="shared" si="65"/>
        <v>0</v>
      </c>
      <c r="K91" s="2"/>
      <c r="L91" s="7">
        <f t="shared" si="66"/>
        <v>0</v>
      </c>
      <c r="M91" s="2"/>
      <c r="N91" s="6">
        <f t="shared" si="67"/>
        <v>0</v>
      </c>
      <c r="O91" s="11"/>
      <c r="P91" s="7">
        <v>30.4</v>
      </c>
      <c r="Q91" s="2"/>
      <c r="R91" s="6">
        <f t="shared" si="68"/>
        <v>0</v>
      </c>
      <c r="S91" s="2"/>
      <c r="T91" s="7"/>
      <c r="U91" s="2"/>
      <c r="V91" s="6">
        <f t="shared" si="69"/>
        <v>0</v>
      </c>
      <c r="W91" s="2"/>
      <c r="X91" s="7">
        <f t="shared" si="70"/>
        <v>30.4</v>
      </c>
      <c r="Y91" s="2"/>
      <c r="Z91" s="6">
        <f t="shared" si="71"/>
        <v>0</v>
      </c>
    </row>
    <row r="92" spans="1:26" s="60" customFormat="1" x14ac:dyDescent="0.25">
      <c r="A92" s="36"/>
      <c r="B92" s="36"/>
      <c r="C92" s="36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6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x14ac:dyDescent="0.25">
      <c r="A93" s="10"/>
      <c r="B93" s="25" t="s">
        <v>293</v>
      </c>
      <c r="C93" s="10"/>
      <c r="D93" s="4">
        <f>SUM(0)</f>
        <v>0</v>
      </c>
      <c r="E93" s="4"/>
      <c r="F93" s="12">
        <f>IF(D$12=0,0,D93/D$12)</f>
        <v>0</v>
      </c>
      <c r="G93" s="4"/>
      <c r="H93" s="4">
        <f>SUM(0)</f>
        <v>0</v>
      </c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>
        <f>SUM(0)</f>
        <v>0</v>
      </c>
      <c r="Q93" s="4"/>
      <c r="R93" s="12">
        <f>IF(P$12=0,0,P93/P$12)</f>
        <v>0</v>
      </c>
      <c r="S93" s="4"/>
      <c r="T93" s="4">
        <f>SUM(0)</f>
        <v>0</v>
      </c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6" t="s">
        <v>277</v>
      </c>
      <c r="C95" s="26"/>
      <c r="D95" s="21">
        <f>+D16-D18+D93</f>
        <v>-248611.91999999993</v>
      </c>
      <c r="E95" s="13"/>
      <c r="F95" s="20">
        <f>IF(D$12=0,0,D95/D$12)</f>
        <v>0</v>
      </c>
      <c r="G95" s="13"/>
      <c r="H95" s="21">
        <f>+H16-H18+H93</f>
        <v>-290561.68349979992</v>
      </c>
      <c r="I95" s="13"/>
      <c r="J95" s="20">
        <f>IF(H$12=0,0,H95/H$12)</f>
        <v>0</v>
      </c>
      <c r="K95" s="15"/>
      <c r="L95" s="21">
        <f>+D95-H95</f>
        <v>41949.763499799999</v>
      </c>
      <c r="M95" s="15"/>
      <c r="N95" s="20">
        <f>IF(H95=0,0,L95/H95)</f>
        <v>-0.14437472620105082</v>
      </c>
      <c r="O95" s="25"/>
      <c r="P95" s="21">
        <f>+P16-P18+P93</f>
        <v>-909856.62000000011</v>
      </c>
      <c r="Q95" s="13"/>
      <c r="R95" s="20">
        <f>IF(P$12=0,0,P95/P$12)</f>
        <v>0</v>
      </c>
      <c r="S95" s="13"/>
      <c r="T95" s="21">
        <f>+T16-T18+T93</f>
        <v>-1050859.9821992794</v>
      </c>
      <c r="U95" s="13"/>
      <c r="V95" s="20">
        <f>IF(T$12=0,0,T95/T$12)</f>
        <v>0</v>
      </c>
      <c r="W95" s="15"/>
      <c r="X95" s="21">
        <f>+P95-T95</f>
        <v>141003.36219927925</v>
      </c>
      <c r="Y95" s="15"/>
      <c r="Z95" s="20">
        <f>IF(T95=0,0,X95/T95)</f>
        <v>-0.1341790196484427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2"/>
      <c r="B97" s="10" t="s">
        <v>128</v>
      </c>
      <c r="C97" s="10"/>
      <c r="D97" s="4"/>
      <c r="E97" s="4"/>
      <c r="F97" s="12">
        <f>IF(D$12=0,0,D97/D$12)</f>
        <v>0</v>
      </c>
      <c r="G97" s="4"/>
      <c r="H97" s="4"/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/>
      <c r="Q97" s="4"/>
      <c r="R97" s="12">
        <f>IF(P$12=0,0,P97/P$12)</f>
        <v>0</v>
      </c>
      <c r="S97" s="4"/>
      <c r="T97" s="4"/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6" t="s">
        <v>126</v>
      </c>
      <c r="C99" s="26"/>
      <c r="D99" s="31">
        <f>+D95-D97</f>
        <v>-248611.91999999993</v>
      </c>
      <c r="E99" s="13"/>
      <c r="F99" s="33">
        <f>IF(D$12=0,0,D99/D$12)</f>
        <v>0</v>
      </c>
      <c r="G99" s="13"/>
      <c r="H99" s="31">
        <f>+H95-H97</f>
        <v>-290561.68349979992</v>
      </c>
      <c r="I99" s="13"/>
      <c r="J99" s="33">
        <f>IF(H$12=0,0,H99/H$12)</f>
        <v>0</v>
      </c>
      <c r="K99" s="15"/>
      <c r="L99" s="31">
        <f>D99-H99</f>
        <v>41949.763499799999</v>
      </c>
      <c r="M99" s="15"/>
      <c r="N99" s="33">
        <f>IF(H99=0,0,L99/H99)</f>
        <v>-0.14437472620105082</v>
      </c>
      <c r="O99" s="25"/>
      <c r="P99" s="31">
        <f>+P95-P97</f>
        <v>-909856.62000000011</v>
      </c>
      <c r="Q99" s="13"/>
      <c r="R99" s="33">
        <f>IF(P$12=0,0,P99/P$12)</f>
        <v>0</v>
      </c>
      <c r="S99" s="13"/>
      <c r="T99" s="31">
        <f>+T95-T97</f>
        <v>-1050859.9821992794</v>
      </c>
      <c r="U99" s="13"/>
      <c r="V99" s="33">
        <f>IF(T$12=0,0,T99/T$12)</f>
        <v>0</v>
      </c>
      <c r="W99" s="15"/>
      <c r="X99" s="31">
        <f>P99-T99</f>
        <v>141003.36219927925</v>
      </c>
      <c r="Y99" s="15"/>
      <c r="Z99" s="33">
        <f>IF(T99=0,0,X99/T99)</f>
        <v>-0.1341790196484427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6" t="s">
        <v>294</v>
      </c>
      <c r="C102" s="26"/>
      <c r="D102" s="35">
        <f>SUM(D99:D101)</f>
        <v>-248611.91999999993</v>
      </c>
      <c r="E102" s="13"/>
      <c r="F102" s="32">
        <f>IF(D$12=0,0,D102/D$12)</f>
        <v>0</v>
      </c>
      <c r="G102" s="13"/>
      <c r="H102" s="35">
        <f>SUM(H99:H101)</f>
        <v>-290561.68349979992</v>
      </c>
      <c r="I102" s="13"/>
      <c r="J102" s="32">
        <f>IF(H$12=0,0,H102/H$12)</f>
        <v>0</v>
      </c>
      <c r="K102" s="15"/>
      <c r="L102" s="35">
        <f>+D102-H102</f>
        <v>41949.763499799999</v>
      </c>
      <c r="M102" s="15"/>
      <c r="N102" s="32">
        <f>IF(H102=0,0,L102/H102)</f>
        <v>-0.14437472620105082</v>
      </c>
      <c r="O102" s="25"/>
      <c r="P102" s="35">
        <f>SUM(P99:P101)</f>
        <v>-909856.62000000011</v>
      </c>
      <c r="Q102" s="13"/>
      <c r="R102" s="32">
        <f>IF(P$12=0,0,P102/P$12)</f>
        <v>0</v>
      </c>
      <c r="S102" s="13"/>
      <c r="T102" s="35">
        <f>SUM(T99:T101)</f>
        <v>-1050859.9821992794</v>
      </c>
      <c r="U102" s="13"/>
      <c r="V102" s="32">
        <f>IF(T$12=0,0,T102/T$12)</f>
        <v>0</v>
      </c>
      <c r="W102" s="15"/>
      <c r="X102" s="35">
        <f>+P102-T102</f>
        <v>141003.36219927925</v>
      </c>
      <c r="Y102" s="15"/>
      <c r="Z102" s="32">
        <f>IF(T102=0,0,X102/T102)</f>
        <v>-0.1341790196484427</v>
      </c>
    </row>
    <row r="103" spans="1:26" ht="15.75" thickTop="1" x14ac:dyDescent="0.25">
      <c r="A103" s="9"/>
      <c r="C103" s="9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A104" s="9"/>
      <c r="B104" s="59">
        <v>44517.962850381948</v>
      </c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A105" s="9"/>
      <c r="B105" s="62" t="s">
        <v>56</v>
      </c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57"/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","200", " - ", "Corporate Expense")</f>
        <v>Department 200 - Corporate Expense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42121.599999999999</v>
      </c>
      <c r="E18" s="22"/>
      <c r="F18" s="34">
        <f t="shared" ref="F18:F27" si="0">IF(D$12=0,0,D18/D$12)</f>
        <v>0</v>
      </c>
      <c r="G18" s="22"/>
      <c r="H18" s="22">
        <f>SUM(OSRRefH22x_0)</f>
        <v>62008</v>
      </c>
      <c r="I18" s="22"/>
      <c r="J18" s="34">
        <f t="shared" ref="J18:J27" si="1">IF(H$12=0,0,H18/H$12)</f>
        <v>0</v>
      </c>
      <c r="K18" s="4"/>
      <c r="L18" s="22">
        <f t="shared" ref="L18:L27" si="2">+D18-H18</f>
        <v>-19886.400000000001</v>
      </c>
      <c r="M18" s="4"/>
      <c r="N18" s="34">
        <f t="shared" ref="N18:N27" si="3">IF(H18=0,0,L18/H18)</f>
        <v>-0.32070700554767129</v>
      </c>
      <c r="O18" s="10"/>
      <c r="P18" s="22">
        <f>SUM(OSRRefP22x_0)</f>
        <v>140568.29999999999</v>
      </c>
      <c r="Q18" s="22"/>
      <c r="R18" s="34">
        <f t="shared" ref="R18:R27" si="4">IF(P$12=0,0,P18/P$12)</f>
        <v>0</v>
      </c>
      <c r="S18" s="22"/>
      <c r="T18" s="22">
        <f>SUM(OSRRefT22x_0)</f>
        <v>190532</v>
      </c>
      <c r="U18" s="22"/>
      <c r="V18" s="34">
        <f t="shared" ref="V18:V27" si="5">IF(T$12=0,0,T18/T$12)</f>
        <v>0</v>
      </c>
      <c r="W18" s="4"/>
      <c r="X18" s="22">
        <f t="shared" ref="X18:X27" si="6">+P18-T18</f>
        <v>-49963.700000000012</v>
      </c>
      <c r="Y18" s="4"/>
      <c r="Z18" s="34">
        <f t="shared" ref="Z18:Z27" si="7">IF(T18=0,0,X18/T18)</f>
        <v>-0.26223259085088074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27236.080000000002</v>
      </c>
      <c r="E19" s="1"/>
      <c r="F19" s="5">
        <f t="shared" si="0"/>
        <v>0</v>
      </c>
      <c r="G19" s="1"/>
      <c r="H19" s="1">
        <f>SUM(OSRRefH22_0x_0)</f>
        <v>35000</v>
      </c>
      <c r="I19" s="1"/>
      <c r="J19" s="5">
        <f t="shared" si="1"/>
        <v>0</v>
      </c>
      <c r="K19" s="1"/>
      <c r="L19" s="1">
        <f t="shared" si="2"/>
        <v>-7763.9199999999983</v>
      </c>
      <c r="M19" s="1"/>
      <c r="N19" s="5">
        <f t="shared" si="3"/>
        <v>-0.22182628571428567</v>
      </c>
      <c r="O19" s="14"/>
      <c r="P19" s="1">
        <f>SUM(OSRRefP22_0x_0)</f>
        <v>109657.26</v>
      </c>
      <c r="Q19" s="1"/>
      <c r="R19" s="5">
        <f t="shared" si="4"/>
        <v>0</v>
      </c>
      <c r="S19" s="1"/>
      <c r="T19" s="1">
        <f>SUM(OSRRefT22_0x_0)</f>
        <v>140000</v>
      </c>
      <c r="U19" s="1"/>
      <c r="V19" s="5">
        <f t="shared" si="5"/>
        <v>0</v>
      </c>
      <c r="W19" s="1"/>
      <c r="X19" s="1">
        <f t="shared" si="6"/>
        <v>-30342.740000000005</v>
      </c>
      <c r="Y19" s="1"/>
      <c r="Z19" s="5">
        <f t="shared" si="7"/>
        <v>-0.21673385714285717</v>
      </c>
    </row>
    <row r="20" spans="1:26" s="24" customFormat="1" hidden="1" outlineLevel="2" x14ac:dyDescent="0.25">
      <c r="A20" s="27"/>
      <c r="B20" s="11" t="str">
        <f>CONCATENATE("          ", "6120", " - ", "RETIREES HEALTH INSURANCE")</f>
        <v xml:space="preserve">          6120 - RETIREES HEALTH INSURANCE</v>
      </c>
      <c r="C20" s="11"/>
      <c r="D20" s="7">
        <v>27236.080000000002</v>
      </c>
      <c r="E20" s="2"/>
      <c r="F20" s="6">
        <f t="shared" si="0"/>
        <v>0</v>
      </c>
      <c r="G20" s="2"/>
      <c r="H20" s="7">
        <v>35000</v>
      </c>
      <c r="I20" s="2"/>
      <c r="J20" s="6">
        <f t="shared" si="1"/>
        <v>0</v>
      </c>
      <c r="K20" s="2"/>
      <c r="L20" s="7">
        <f t="shared" si="2"/>
        <v>-7763.9199999999983</v>
      </c>
      <c r="M20" s="2"/>
      <c r="N20" s="6">
        <f t="shared" si="3"/>
        <v>-0.22182628571428567</v>
      </c>
      <c r="O20" s="11"/>
      <c r="P20" s="7">
        <v>109657.26</v>
      </c>
      <c r="Q20" s="2"/>
      <c r="R20" s="6">
        <f t="shared" si="4"/>
        <v>0</v>
      </c>
      <c r="S20" s="2"/>
      <c r="T20" s="7">
        <v>140000</v>
      </c>
      <c r="U20" s="2"/>
      <c r="V20" s="6">
        <f t="shared" si="5"/>
        <v>0</v>
      </c>
      <c r="W20" s="2"/>
      <c r="X20" s="7">
        <f t="shared" si="6"/>
        <v>-30342.740000000005</v>
      </c>
      <c r="Y20" s="2"/>
      <c r="Z20" s="6">
        <f t="shared" si="7"/>
        <v>-0.21673385714285717</v>
      </c>
    </row>
    <row r="21" spans="1:26" s="28" customFormat="1" outlineLevel="1" collapsed="1" x14ac:dyDescent="0.25">
      <c r="A21" s="29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3111.94</v>
      </c>
      <c r="E21" s="1"/>
      <c r="F21" s="5">
        <f t="shared" si="0"/>
        <v>0</v>
      </c>
      <c r="G21" s="1"/>
      <c r="H21" s="1">
        <f>SUM(OSRRefH22_1x_0)</f>
        <v>10000</v>
      </c>
      <c r="I21" s="1"/>
      <c r="J21" s="5">
        <f t="shared" si="1"/>
        <v>0</v>
      </c>
      <c r="K21" s="1"/>
      <c r="L21" s="1">
        <f t="shared" si="2"/>
        <v>-6888.0599999999995</v>
      </c>
      <c r="M21" s="1"/>
      <c r="N21" s="5">
        <f t="shared" si="3"/>
        <v>-0.68880599999999992</v>
      </c>
      <c r="O21" s="14"/>
      <c r="P21" s="1">
        <f>SUM(OSRRefP22_1x_0)</f>
        <v>5475.8</v>
      </c>
      <c r="Q21" s="1"/>
      <c r="R21" s="5">
        <f t="shared" si="4"/>
        <v>0</v>
      </c>
      <c r="S21" s="1"/>
      <c r="T21" s="1">
        <f>SUM(OSRRefT22_1x_0)</f>
        <v>15000</v>
      </c>
      <c r="U21" s="1"/>
      <c r="V21" s="5">
        <f t="shared" si="5"/>
        <v>0</v>
      </c>
      <c r="W21" s="1"/>
      <c r="X21" s="1">
        <f t="shared" si="6"/>
        <v>-9524.2000000000007</v>
      </c>
      <c r="Y21" s="1"/>
      <c r="Z21" s="5">
        <f t="shared" si="7"/>
        <v>-0.63494666666666677</v>
      </c>
    </row>
    <row r="22" spans="1:26" s="24" customFormat="1" hidden="1" outlineLevel="2" x14ac:dyDescent="0.25">
      <c r="A22" s="27"/>
      <c r="B22" s="11" t="str">
        <f>CONCATENATE("          ", "6381", " - ", "BANK/CREDIT CARD FEES")</f>
        <v xml:space="preserve">          6381 - BANK/CREDIT CARD FEES</v>
      </c>
      <c r="C22" s="11"/>
      <c r="D22" s="7">
        <v>3111.94</v>
      </c>
      <c r="E22" s="2"/>
      <c r="F22" s="6">
        <f t="shared" si="0"/>
        <v>0</v>
      </c>
      <c r="G22" s="2"/>
      <c r="H22" s="7">
        <v>10000</v>
      </c>
      <c r="I22" s="2"/>
      <c r="J22" s="6">
        <f t="shared" si="1"/>
        <v>0</v>
      </c>
      <c r="K22" s="2"/>
      <c r="L22" s="7">
        <f t="shared" si="2"/>
        <v>-6888.0599999999995</v>
      </c>
      <c r="M22" s="2"/>
      <c r="N22" s="6">
        <f t="shared" si="3"/>
        <v>-0.68880599999999992</v>
      </c>
      <c r="O22" s="11"/>
      <c r="P22" s="7">
        <v>5475.8</v>
      </c>
      <c r="Q22" s="2"/>
      <c r="R22" s="6">
        <f t="shared" si="4"/>
        <v>0</v>
      </c>
      <c r="S22" s="2"/>
      <c r="T22" s="7">
        <v>15000</v>
      </c>
      <c r="U22" s="2"/>
      <c r="V22" s="6">
        <f t="shared" si="5"/>
        <v>0</v>
      </c>
      <c r="W22" s="2"/>
      <c r="X22" s="7">
        <f t="shared" si="6"/>
        <v>-9524.2000000000007</v>
      </c>
      <c r="Y22" s="2"/>
      <c r="Z22" s="6">
        <f t="shared" si="7"/>
        <v>-0.63494666666666677</v>
      </c>
    </row>
    <row r="23" spans="1:26" s="28" customFormat="1" outlineLevel="1" collapsed="1" x14ac:dyDescent="0.25">
      <c r="A23" s="29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1435.83</v>
      </c>
      <c r="E23" s="1"/>
      <c r="F23" s="5">
        <f t="shared" si="0"/>
        <v>0</v>
      </c>
      <c r="G23" s="1"/>
      <c r="H23" s="1">
        <f>SUM(OSRRefH22_2x_0)</f>
        <v>2008</v>
      </c>
      <c r="I23" s="1"/>
      <c r="J23" s="5">
        <f t="shared" si="1"/>
        <v>0</v>
      </c>
      <c r="K23" s="1"/>
      <c r="L23" s="1">
        <f t="shared" si="2"/>
        <v>-572.17000000000007</v>
      </c>
      <c r="M23" s="1"/>
      <c r="N23" s="5">
        <f t="shared" si="3"/>
        <v>-0.28494521912350601</v>
      </c>
      <c r="O23" s="14"/>
      <c r="P23" s="1">
        <f>SUM(OSRRefP22_2x_0)</f>
        <v>4759.74</v>
      </c>
      <c r="Q23" s="1"/>
      <c r="R23" s="5">
        <f t="shared" si="4"/>
        <v>0</v>
      </c>
      <c r="S23" s="1"/>
      <c r="T23" s="1">
        <f>SUM(OSRRefT22_2x_0)</f>
        <v>4532</v>
      </c>
      <c r="U23" s="1"/>
      <c r="V23" s="5">
        <f t="shared" si="5"/>
        <v>0</v>
      </c>
      <c r="W23" s="1"/>
      <c r="X23" s="1">
        <f t="shared" si="6"/>
        <v>227.73999999999978</v>
      </c>
      <c r="Y23" s="1"/>
      <c r="Z23" s="5">
        <f t="shared" si="7"/>
        <v>5.0251544571932871E-2</v>
      </c>
    </row>
    <row r="24" spans="1:26" s="24" customFormat="1" hidden="1" outlineLevel="2" x14ac:dyDescent="0.25">
      <c r="A24" s="27"/>
      <c r="B24" s="11" t="str">
        <f>CONCATENATE("          ", "6397", " - ", "BOARD EXPENSES")</f>
        <v xml:space="preserve">          6397 - BOARD EXPENSES</v>
      </c>
      <c r="C24" s="11"/>
      <c r="D24" s="7">
        <v>1435.83</v>
      </c>
      <c r="E24" s="2"/>
      <c r="F24" s="6">
        <f t="shared" si="0"/>
        <v>0</v>
      </c>
      <c r="G24" s="2"/>
      <c r="H24" s="7">
        <v>2008</v>
      </c>
      <c r="I24" s="2"/>
      <c r="J24" s="6">
        <f t="shared" si="1"/>
        <v>0</v>
      </c>
      <c r="K24" s="2"/>
      <c r="L24" s="7">
        <f t="shared" si="2"/>
        <v>-572.17000000000007</v>
      </c>
      <c r="M24" s="2"/>
      <c r="N24" s="6">
        <f t="shared" si="3"/>
        <v>-0.28494521912350601</v>
      </c>
      <c r="O24" s="11"/>
      <c r="P24" s="7">
        <v>4759.74</v>
      </c>
      <c r="Q24" s="2"/>
      <c r="R24" s="6">
        <f t="shared" si="4"/>
        <v>0</v>
      </c>
      <c r="S24" s="2"/>
      <c r="T24" s="7">
        <v>4532</v>
      </c>
      <c r="U24" s="2"/>
      <c r="V24" s="6">
        <f t="shared" si="5"/>
        <v>0</v>
      </c>
      <c r="W24" s="2"/>
      <c r="X24" s="7">
        <f t="shared" si="6"/>
        <v>227.73999999999978</v>
      </c>
      <c r="Y24" s="2"/>
      <c r="Z24" s="6">
        <f t="shared" si="7"/>
        <v>5.0251544571932871E-2</v>
      </c>
    </row>
    <row r="25" spans="1:26" s="28" customFormat="1" outlineLevel="1" collapsed="1" x14ac:dyDescent="0.25">
      <c r="A25" s="29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10337.75</v>
      </c>
      <c r="E25" s="1"/>
      <c r="F25" s="5">
        <f t="shared" si="0"/>
        <v>0</v>
      </c>
      <c r="G25" s="1"/>
      <c r="H25" s="1">
        <f>SUM(OSRRefH22_3x_0)</f>
        <v>15000</v>
      </c>
      <c r="I25" s="1"/>
      <c r="J25" s="5">
        <f t="shared" si="1"/>
        <v>0</v>
      </c>
      <c r="K25" s="1"/>
      <c r="L25" s="1">
        <f t="shared" si="2"/>
        <v>-4662.25</v>
      </c>
      <c r="M25" s="1"/>
      <c r="N25" s="5">
        <f t="shared" si="3"/>
        <v>-0.31081666666666669</v>
      </c>
      <c r="O25" s="14"/>
      <c r="P25" s="1">
        <f>SUM(OSRRefP22_3x_0)</f>
        <v>20675.5</v>
      </c>
      <c r="Q25" s="1"/>
      <c r="R25" s="5">
        <f t="shared" si="4"/>
        <v>0</v>
      </c>
      <c r="S25" s="1"/>
      <c r="T25" s="1">
        <f>SUM(OSRRefT22_3x_0)</f>
        <v>31000</v>
      </c>
      <c r="U25" s="1"/>
      <c r="V25" s="5">
        <f t="shared" si="5"/>
        <v>0</v>
      </c>
      <c r="W25" s="1"/>
      <c r="X25" s="1">
        <f t="shared" si="6"/>
        <v>-10324.5</v>
      </c>
      <c r="Y25" s="1"/>
      <c r="Z25" s="5">
        <f t="shared" si="7"/>
        <v>-0.3330483870967742</v>
      </c>
    </row>
    <row r="26" spans="1:26" s="24" customFormat="1" hidden="1" outlineLevel="2" x14ac:dyDescent="0.25">
      <c r="A26" s="27"/>
      <c r="B26" s="11" t="str">
        <f>CONCATENATE("          ", "6331", " - ", "INDIRECT COSTS-AUXILIARY ORGAN")</f>
        <v xml:space="preserve">          6331 - INDIRECT COSTS-AUXILIARY ORGAN</v>
      </c>
      <c r="C26" s="11"/>
      <c r="D26" s="7">
        <v>10337.75</v>
      </c>
      <c r="E26" s="2"/>
      <c r="F26" s="6">
        <f t="shared" si="0"/>
        <v>0</v>
      </c>
      <c r="G26" s="2"/>
      <c r="H26" s="7">
        <v>13000</v>
      </c>
      <c r="I26" s="2"/>
      <c r="J26" s="6">
        <f t="shared" si="1"/>
        <v>0</v>
      </c>
      <c r="K26" s="2"/>
      <c r="L26" s="7">
        <f t="shared" si="2"/>
        <v>-2662.25</v>
      </c>
      <c r="M26" s="2"/>
      <c r="N26" s="6">
        <f t="shared" si="3"/>
        <v>-0.20478846153846153</v>
      </c>
      <c r="O26" s="11"/>
      <c r="P26" s="7">
        <v>20675.5</v>
      </c>
      <c r="Q26" s="2"/>
      <c r="R26" s="6">
        <f t="shared" si="4"/>
        <v>0</v>
      </c>
      <c r="S26" s="2"/>
      <c r="T26" s="7">
        <v>26000</v>
      </c>
      <c r="U26" s="2"/>
      <c r="V26" s="6">
        <f t="shared" si="5"/>
        <v>0</v>
      </c>
      <c r="W26" s="2"/>
      <c r="X26" s="7">
        <f t="shared" si="6"/>
        <v>-5324.5</v>
      </c>
      <c r="Y26" s="2"/>
      <c r="Z26" s="6">
        <f t="shared" si="7"/>
        <v>-0.20478846153846153</v>
      </c>
    </row>
    <row r="27" spans="1:26" s="24" customFormat="1" hidden="1" outlineLevel="2" x14ac:dyDescent="0.25">
      <c r="A27" s="27"/>
      <c r="B27" s="11" t="str">
        <f>CONCATENATE("          ", "6332", " - ", "CONSULTANT FEES")</f>
        <v xml:space="preserve">          6332 - CONSULTANT FEES</v>
      </c>
      <c r="C27" s="11"/>
      <c r="D27" s="7"/>
      <c r="E27" s="2"/>
      <c r="F27" s="6">
        <f t="shared" si="0"/>
        <v>0</v>
      </c>
      <c r="G27" s="2"/>
      <c r="H27" s="7">
        <v>2000</v>
      </c>
      <c r="I27" s="2"/>
      <c r="J27" s="6">
        <f t="shared" si="1"/>
        <v>0</v>
      </c>
      <c r="K27" s="2"/>
      <c r="L27" s="7">
        <f t="shared" si="2"/>
        <v>-2000</v>
      </c>
      <c r="M27" s="2"/>
      <c r="N27" s="6">
        <f t="shared" si="3"/>
        <v>-1</v>
      </c>
      <c r="O27" s="11"/>
      <c r="P27" s="7"/>
      <c r="Q27" s="2"/>
      <c r="R27" s="6">
        <f t="shared" si="4"/>
        <v>0</v>
      </c>
      <c r="S27" s="2"/>
      <c r="T27" s="7">
        <v>5000</v>
      </c>
      <c r="U27" s="2"/>
      <c r="V27" s="6">
        <f t="shared" si="5"/>
        <v>0</v>
      </c>
      <c r="W27" s="2"/>
      <c r="X27" s="7">
        <f t="shared" si="6"/>
        <v>-5000</v>
      </c>
      <c r="Y27" s="2"/>
      <c r="Z27" s="6">
        <f t="shared" si="7"/>
        <v>-1</v>
      </c>
    </row>
    <row r="28" spans="1:26" s="60" customFormat="1" x14ac:dyDescent="0.25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5" t="s">
        <v>293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6" t="s">
        <v>277</v>
      </c>
      <c r="C31" s="26"/>
      <c r="D31" s="21">
        <f>+D16-D18+D29</f>
        <v>-42121.599999999999</v>
      </c>
      <c r="E31" s="13"/>
      <c r="F31" s="20">
        <f>IF(D$12=0,0,D31/D$12)</f>
        <v>0</v>
      </c>
      <c r="G31" s="13"/>
      <c r="H31" s="21">
        <f>+H16-H18+H29</f>
        <v>-62008</v>
      </c>
      <c r="I31" s="13"/>
      <c r="J31" s="20">
        <f>IF(H$12=0,0,H31/H$12)</f>
        <v>0</v>
      </c>
      <c r="K31" s="15"/>
      <c r="L31" s="21">
        <f>+D31-H31</f>
        <v>19886.400000000001</v>
      </c>
      <c r="M31" s="15"/>
      <c r="N31" s="20">
        <f>IF(H31=0,0,L31/H31)</f>
        <v>-0.32070700554767129</v>
      </c>
      <c r="O31" s="25"/>
      <c r="P31" s="21">
        <f>+P16-P18+P29</f>
        <v>-140568.29999999999</v>
      </c>
      <c r="Q31" s="13"/>
      <c r="R31" s="20">
        <f>IF(P$12=0,0,P31/P$12)</f>
        <v>0</v>
      </c>
      <c r="S31" s="13"/>
      <c r="T31" s="21">
        <f>+T16-T18+T29</f>
        <v>-190532</v>
      </c>
      <c r="U31" s="13"/>
      <c r="V31" s="20">
        <f>IF(T$12=0,0,T31/T$12)</f>
        <v>0</v>
      </c>
      <c r="W31" s="15"/>
      <c r="X31" s="21">
        <f>+P31-T31</f>
        <v>49963.700000000012</v>
      </c>
      <c r="Y31" s="15"/>
      <c r="Z31" s="20">
        <f>IF(T31=0,0,X31/T31)</f>
        <v>-0.26223259085088074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128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6" t="s">
        <v>126</v>
      </c>
      <c r="C35" s="26"/>
      <c r="D35" s="31">
        <f>+D31-D33</f>
        <v>-42121.599999999999</v>
      </c>
      <c r="E35" s="13"/>
      <c r="F35" s="33">
        <f>IF(D$12=0,0,D35/D$12)</f>
        <v>0</v>
      </c>
      <c r="G35" s="13"/>
      <c r="H35" s="31">
        <f>+H31-H33</f>
        <v>-62008</v>
      </c>
      <c r="I35" s="13"/>
      <c r="J35" s="33">
        <f>IF(H$12=0,0,H35/H$12)</f>
        <v>0</v>
      </c>
      <c r="K35" s="15"/>
      <c r="L35" s="31">
        <f>D35-H35</f>
        <v>19886.400000000001</v>
      </c>
      <c r="M35" s="15"/>
      <c r="N35" s="33">
        <f>IF(H35=0,0,L35/H35)</f>
        <v>-0.32070700554767129</v>
      </c>
      <c r="O35" s="25"/>
      <c r="P35" s="31">
        <f>+P31-P33</f>
        <v>-140568.29999999999</v>
      </c>
      <c r="Q35" s="13"/>
      <c r="R35" s="33">
        <f>IF(P$12=0,0,P35/P$12)</f>
        <v>0</v>
      </c>
      <c r="S35" s="13"/>
      <c r="T35" s="31">
        <f>+T31-T33</f>
        <v>-190532</v>
      </c>
      <c r="U35" s="13"/>
      <c r="V35" s="33">
        <f>IF(T$12=0,0,T35/T$12)</f>
        <v>0</v>
      </c>
      <c r="W35" s="15"/>
      <c r="X35" s="31">
        <f>P35-T35</f>
        <v>49963.700000000012</v>
      </c>
      <c r="Y35" s="15"/>
      <c r="Z35" s="33">
        <f>IF(T35=0,0,X35/T35)</f>
        <v>-0.26223259085088074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6" t="s">
        <v>294</v>
      </c>
      <c r="C38" s="26"/>
      <c r="D38" s="35">
        <f>SUM(D35:D37)</f>
        <v>-42121.599999999999</v>
      </c>
      <c r="E38" s="13"/>
      <c r="F38" s="32">
        <f>IF(D$12=0,0,D38/D$12)</f>
        <v>0</v>
      </c>
      <c r="G38" s="13"/>
      <c r="H38" s="35">
        <f>SUM(H35:H37)</f>
        <v>-62008</v>
      </c>
      <c r="I38" s="13"/>
      <c r="J38" s="32">
        <f>IF(H$12=0,0,H38/H$12)</f>
        <v>0</v>
      </c>
      <c r="K38" s="15"/>
      <c r="L38" s="35">
        <f>+D38-H38</f>
        <v>19886.400000000001</v>
      </c>
      <c r="M38" s="15"/>
      <c r="N38" s="32">
        <f>IF(H38=0,0,L38/H38)</f>
        <v>-0.32070700554767129</v>
      </c>
      <c r="O38" s="25"/>
      <c r="P38" s="35">
        <f>SUM(P35:P37)</f>
        <v>-140568.29999999999</v>
      </c>
      <c r="Q38" s="13"/>
      <c r="R38" s="32">
        <f>IF(P$12=0,0,P38/P$12)</f>
        <v>0</v>
      </c>
      <c r="S38" s="13"/>
      <c r="T38" s="35">
        <f>SUM(T35:T37)</f>
        <v>-190532</v>
      </c>
      <c r="U38" s="13"/>
      <c r="V38" s="32">
        <f>IF(T$12=0,0,T38/T$12)</f>
        <v>0</v>
      </c>
      <c r="W38" s="15"/>
      <c r="X38" s="35">
        <f>+P38-T38</f>
        <v>49963.700000000012</v>
      </c>
      <c r="Y38" s="15"/>
      <c r="Z38" s="32">
        <f>IF(T38=0,0,X38/T38)</f>
        <v>-0.26223259085088074</v>
      </c>
    </row>
    <row r="39" spans="1:26" ht="15.75" thickTop="1" x14ac:dyDescent="0.25">
      <c r="A39" s="9"/>
      <c r="C39" s="9"/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9">
        <v>44517.962875613426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62" t="s">
        <v>56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7"/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","201", " - ", "General Manager")</f>
        <v>Department 201 - General Manager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27845.48</v>
      </c>
      <c r="E18" s="22"/>
      <c r="F18" s="34">
        <f t="shared" ref="F18:F28" si="0">IF(D$12=0,0,D18/D$12)</f>
        <v>0</v>
      </c>
      <c r="G18" s="22"/>
      <c r="H18" s="22">
        <f>SUM(OSRRefH22x_0)</f>
        <v>51922.47803846153</v>
      </c>
      <c r="I18" s="22"/>
      <c r="J18" s="34">
        <f t="shared" ref="J18:J28" si="1">IF(H$12=0,0,H18/H$12)</f>
        <v>0</v>
      </c>
      <c r="K18" s="4"/>
      <c r="L18" s="22">
        <f t="shared" ref="L18:L28" si="2">+D18-H18</f>
        <v>-24076.99803846153</v>
      </c>
      <c r="M18" s="4"/>
      <c r="N18" s="34">
        <f t="shared" ref="N18:N28" si="3">IF(H18=0,0,L18/H18)</f>
        <v>-0.46371049587861574</v>
      </c>
      <c r="O18" s="10"/>
      <c r="P18" s="22">
        <f>SUM(OSRRefP22x_0)</f>
        <v>135984.29999999999</v>
      </c>
      <c r="Q18" s="22"/>
      <c r="R18" s="34">
        <f t="shared" ref="R18:R28" si="4">IF(P$12=0,0,P18/P$12)</f>
        <v>0</v>
      </c>
      <c r="S18" s="22"/>
      <c r="T18" s="22">
        <f>SUM(OSRRefT22x_0)</f>
        <v>195029.72093846143</v>
      </c>
      <c r="U18" s="22"/>
      <c r="V18" s="34">
        <f t="shared" ref="V18:V28" si="5">IF(T$12=0,0,T18/T$12)</f>
        <v>0</v>
      </c>
      <c r="W18" s="4"/>
      <c r="X18" s="22">
        <f t="shared" ref="X18:X28" si="6">+P18-T18</f>
        <v>-59045.420938461437</v>
      </c>
      <c r="Y18" s="4"/>
      <c r="Z18" s="34">
        <f t="shared" ref="Z18:Z28" si="7">IF(T18=0,0,X18/T18)</f>
        <v>-0.30275088665635885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12891.19</v>
      </c>
      <c r="E19" s="1"/>
      <c r="F19" s="5">
        <f t="shared" si="0"/>
        <v>0</v>
      </c>
      <c r="G19" s="1"/>
      <c r="H19" s="1">
        <f>SUM(OSRRefH22_0x_0)</f>
        <v>9495.4011153846204</v>
      </c>
      <c r="I19" s="1"/>
      <c r="J19" s="5">
        <f t="shared" si="1"/>
        <v>0</v>
      </c>
      <c r="K19" s="1"/>
      <c r="L19" s="1">
        <f t="shared" si="2"/>
        <v>3395.7888846153801</v>
      </c>
      <c r="M19" s="1"/>
      <c r="N19" s="5">
        <f t="shared" si="3"/>
        <v>0.35762458513874273</v>
      </c>
      <c r="O19" s="14"/>
      <c r="P19" s="1">
        <f>SUM(OSRRefP22_0x_0)</f>
        <v>44013.34</v>
      </c>
      <c r="Q19" s="1"/>
      <c r="R19" s="5">
        <f t="shared" si="4"/>
        <v>0</v>
      </c>
      <c r="S19" s="1"/>
      <c r="T19" s="1">
        <f>SUM(OSRRefT22_0x_0)</f>
        <v>35567.044015384614</v>
      </c>
      <c r="U19" s="1"/>
      <c r="V19" s="5">
        <f t="shared" si="5"/>
        <v>0</v>
      </c>
      <c r="W19" s="1"/>
      <c r="X19" s="1">
        <f t="shared" si="6"/>
        <v>8446.2959846153826</v>
      </c>
      <c r="Y19" s="1"/>
      <c r="Z19" s="5">
        <f t="shared" si="7"/>
        <v>0.23747534321272007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1411.45</v>
      </c>
      <c r="E20" s="2"/>
      <c r="F20" s="6">
        <f t="shared" si="0"/>
        <v>0</v>
      </c>
      <c r="G20" s="2"/>
      <c r="H20" s="7">
        <v>1787.5641923076901</v>
      </c>
      <c r="I20" s="2"/>
      <c r="J20" s="6">
        <f t="shared" si="1"/>
        <v>0</v>
      </c>
      <c r="K20" s="2"/>
      <c r="L20" s="7">
        <f t="shared" si="2"/>
        <v>-376.11419230769002</v>
      </c>
      <c r="M20" s="2"/>
      <c r="N20" s="6">
        <f t="shared" si="3"/>
        <v>-0.21040597810484121</v>
      </c>
      <c r="O20" s="11"/>
      <c r="P20" s="7">
        <v>5768.91</v>
      </c>
      <c r="Q20" s="2"/>
      <c r="R20" s="6">
        <f t="shared" si="4"/>
        <v>0</v>
      </c>
      <c r="S20" s="2"/>
      <c r="T20" s="7">
        <v>6435.2310923076802</v>
      </c>
      <c r="U20" s="2"/>
      <c r="V20" s="6">
        <f t="shared" si="5"/>
        <v>0</v>
      </c>
      <c r="W20" s="2"/>
      <c r="X20" s="7">
        <f t="shared" si="6"/>
        <v>-666.32109230768037</v>
      </c>
      <c r="Y20" s="2"/>
      <c r="Z20" s="6">
        <f t="shared" si="7"/>
        <v>-0.10354268288891191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368.36</v>
      </c>
      <c r="E21" s="2"/>
      <c r="F21" s="6">
        <f t="shared" si="0"/>
        <v>0</v>
      </c>
      <c r="G21" s="2"/>
      <c r="H21" s="7">
        <v>72.408846153846099</v>
      </c>
      <c r="I21" s="2"/>
      <c r="J21" s="6">
        <f t="shared" si="1"/>
        <v>0</v>
      </c>
      <c r="K21" s="2"/>
      <c r="L21" s="7">
        <f t="shared" si="2"/>
        <v>295.95115384615394</v>
      </c>
      <c r="M21" s="2"/>
      <c r="N21" s="6">
        <f t="shared" si="3"/>
        <v>4.0872237242580898</v>
      </c>
      <c r="O21" s="11"/>
      <c r="P21" s="7">
        <v>1103.1400000000001</v>
      </c>
      <c r="Q21" s="2"/>
      <c r="R21" s="6">
        <f t="shared" si="4"/>
        <v>0</v>
      </c>
      <c r="S21" s="2"/>
      <c r="T21" s="7">
        <v>260.67184615384599</v>
      </c>
      <c r="U21" s="2"/>
      <c r="V21" s="6">
        <f t="shared" si="5"/>
        <v>0</v>
      </c>
      <c r="W21" s="2"/>
      <c r="X21" s="7">
        <f t="shared" si="6"/>
        <v>842.46815384615411</v>
      </c>
      <c r="Y21" s="2"/>
      <c r="Z21" s="6">
        <f t="shared" si="7"/>
        <v>3.2319107961852449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3909.65</v>
      </c>
      <c r="E22" s="2"/>
      <c r="F22" s="6">
        <f t="shared" si="0"/>
        <v>0</v>
      </c>
      <c r="G22" s="2"/>
      <c r="H22" s="7">
        <v>3359</v>
      </c>
      <c r="I22" s="2"/>
      <c r="J22" s="6">
        <f t="shared" si="1"/>
        <v>0</v>
      </c>
      <c r="K22" s="2"/>
      <c r="L22" s="7">
        <f t="shared" si="2"/>
        <v>550.65000000000009</v>
      </c>
      <c r="M22" s="2"/>
      <c r="N22" s="6">
        <f t="shared" si="3"/>
        <v>0.16393271807085444</v>
      </c>
      <c r="O22" s="11"/>
      <c r="P22" s="7">
        <v>15837.04</v>
      </c>
      <c r="Q22" s="2"/>
      <c r="R22" s="6">
        <f t="shared" si="4"/>
        <v>0</v>
      </c>
      <c r="S22" s="2"/>
      <c r="T22" s="7">
        <v>13436</v>
      </c>
      <c r="U22" s="2"/>
      <c r="V22" s="6">
        <f t="shared" si="5"/>
        <v>0</v>
      </c>
      <c r="W22" s="2"/>
      <c r="X22" s="7">
        <f t="shared" si="6"/>
        <v>2401.0400000000009</v>
      </c>
      <c r="Y22" s="2"/>
      <c r="Z22" s="6">
        <f t="shared" si="7"/>
        <v>0.17870199464126235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74.239999999999995</v>
      </c>
      <c r="E23" s="2"/>
      <c r="F23" s="6">
        <f t="shared" si="0"/>
        <v>0</v>
      </c>
      <c r="G23" s="2"/>
      <c r="H23" s="7">
        <v>49.051153846153802</v>
      </c>
      <c r="I23" s="2"/>
      <c r="J23" s="6">
        <f t="shared" si="1"/>
        <v>0</v>
      </c>
      <c r="K23" s="2"/>
      <c r="L23" s="7">
        <f t="shared" si="2"/>
        <v>25.188846153846193</v>
      </c>
      <c r="M23" s="2"/>
      <c r="N23" s="6">
        <f t="shared" si="3"/>
        <v>0.51352199038680313</v>
      </c>
      <c r="O23" s="11"/>
      <c r="P23" s="7">
        <v>222.34</v>
      </c>
      <c r="Q23" s="2"/>
      <c r="R23" s="6">
        <f t="shared" si="4"/>
        <v>0</v>
      </c>
      <c r="S23" s="2"/>
      <c r="T23" s="7">
        <v>176.58415384615401</v>
      </c>
      <c r="U23" s="2"/>
      <c r="V23" s="6">
        <f t="shared" si="5"/>
        <v>0</v>
      </c>
      <c r="W23" s="2"/>
      <c r="X23" s="7">
        <f t="shared" si="6"/>
        <v>45.755846153845994</v>
      </c>
      <c r="Y23" s="2"/>
      <c r="Z23" s="6">
        <f t="shared" si="7"/>
        <v>0.25911637685060918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3031.48</v>
      </c>
      <c r="E24" s="2"/>
      <c r="F24" s="6">
        <f t="shared" si="0"/>
        <v>0</v>
      </c>
      <c r="G24" s="2"/>
      <c r="H24" s="7">
        <v>2008.7615384615401</v>
      </c>
      <c r="I24" s="2"/>
      <c r="J24" s="6">
        <f t="shared" si="1"/>
        <v>0</v>
      </c>
      <c r="K24" s="2"/>
      <c r="L24" s="7">
        <f t="shared" si="2"/>
        <v>1022.7184615384599</v>
      </c>
      <c r="M24" s="2"/>
      <c r="N24" s="6">
        <f t="shared" si="3"/>
        <v>0.50912885474785341</v>
      </c>
      <c r="O24" s="11"/>
      <c r="P24" s="7">
        <v>9094.42</v>
      </c>
      <c r="Q24" s="2"/>
      <c r="R24" s="6">
        <f t="shared" si="4"/>
        <v>0</v>
      </c>
      <c r="S24" s="2"/>
      <c r="T24" s="7">
        <v>7231.5415384615399</v>
      </c>
      <c r="U24" s="2"/>
      <c r="V24" s="6">
        <f t="shared" si="5"/>
        <v>0</v>
      </c>
      <c r="W24" s="2"/>
      <c r="X24" s="7">
        <f t="shared" si="6"/>
        <v>1862.8784615384602</v>
      </c>
      <c r="Y24" s="2"/>
      <c r="Z24" s="6">
        <f t="shared" si="7"/>
        <v>0.25760461329449469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7">
        <v>2488.4699999999998</v>
      </c>
      <c r="E26" s="2"/>
      <c r="F26" s="6">
        <f t="shared" si="0"/>
        <v>0</v>
      </c>
      <c r="G26" s="2"/>
      <c r="H26" s="7">
        <v>1167.88461538462</v>
      </c>
      <c r="I26" s="2"/>
      <c r="J26" s="6">
        <f t="shared" si="1"/>
        <v>0</v>
      </c>
      <c r="K26" s="2"/>
      <c r="L26" s="7">
        <f t="shared" si="2"/>
        <v>1320.5853846153798</v>
      </c>
      <c r="M26" s="2"/>
      <c r="N26" s="6">
        <f t="shared" si="3"/>
        <v>1.1307498765025437</v>
      </c>
      <c r="O26" s="11"/>
      <c r="P26" s="7">
        <v>7465.41</v>
      </c>
      <c r="Q26" s="2"/>
      <c r="R26" s="6">
        <f t="shared" si="4"/>
        <v>0</v>
      </c>
      <c r="S26" s="2"/>
      <c r="T26" s="7">
        <v>4204.3846153846198</v>
      </c>
      <c r="U26" s="2"/>
      <c r="V26" s="6">
        <f t="shared" si="5"/>
        <v>0</v>
      </c>
      <c r="W26" s="2"/>
      <c r="X26" s="7">
        <f t="shared" si="6"/>
        <v>3261.0253846153801</v>
      </c>
      <c r="Y26" s="2"/>
      <c r="Z26" s="6">
        <f t="shared" si="7"/>
        <v>0.77562489708545834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7">
        <v>1285.2</v>
      </c>
      <c r="E27" s="2"/>
      <c r="F27" s="6">
        <f t="shared" si="0"/>
        <v>0</v>
      </c>
      <c r="G27" s="2"/>
      <c r="H27" s="7">
        <v>700.73076923076906</v>
      </c>
      <c r="I27" s="2"/>
      <c r="J27" s="6">
        <f t="shared" si="1"/>
        <v>0</v>
      </c>
      <c r="K27" s="2"/>
      <c r="L27" s="7">
        <f t="shared" si="2"/>
        <v>584.46923076923099</v>
      </c>
      <c r="M27" s="2"/>
      <c r="N27" s="6">
        <f t="shared" si="3"/>
        <v>0.83408529557055877</v>
      </c>
      <c r="O27" s="11"/>
      <c r="P27" s="7">
        <v>3855.6</v>
      </c>
      <c r="Q27" s="2"/>
      <c r="R27" s="6">
        <f t="shared" si="4"/>
        <v>0</v>
      </c>
      <c r="S27" s="2"/>
      <c r="T27" s="7">
        <v>2522.6307692307701</v>
      </c>
      <c r="U27" s="2"/>
      <c r="V27" s="6">
        <f t="shared" si="5"/>
        <v>0</v>
      </c>
      <c r="W27" s="2"/>
      <c r="X27" s="7">
        <f t="shared" si="6"/>
        <v>1332.9692307692299</v>
      </c>
      <c r="Y27" s="2"/>
      <c r="Z27" s="6">
        <f t="shared" si="7"/>
        <v>0.52840441297546459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7">
        <v>322.33999999999997</v>
      </c>
      <c r="E28" s="2"/>
      <c r="F28" s="6">
        <f t="shared" si="0"/>
        <v>0</v>
      </c>
      <c r="G28" s="2"/>
      <c r="H28" s="7">
        <v>350</v>
      </c>
      <c r="I28" s="2"/>
      <c r="J28" s="6">
        <f t="shared" si="1"/>
        <v>0</v>
      </c>
      <c r="K28" s="2"/>
      <c r="L28" s="7">
        <f t="shared" si="2"/>
        <v>-27.660000000000025</v>
      </c>
      <c r="M28" s="2"/>
      <c r="N28" s="6">
        <f t="shared" si="3"/>
        <v>-7.9028571428571504E-2</v>
      </c>
      <c r="O28" s="11"/>
      <c r="P28" s="7">
        <v>666.48</v>
      </c>
      <c r="Q28" s="2"/>
      <c r="R28" s="6">
        <f t="shared" si="4"/>
        <v>0</v>
      </c>
      <c r="S28" s="2"/>
      <c r="T28" s="7">
        <v>1300</v>
      </c>
      <c r="U28" s="2"/>
      <c r="V28" s="6">
        <f t="shared" si="5"/>
        <v>0</v>
      </c>
      <c r="W28" s="2"/>
      <c r="X28" s="7">
        <f t="shared" si="6"/>
        <v>-633.52</v>
      </c>
      <c r="Y28" s="2"/>
      <c r="Z28" s="6">
        <f t="shared" si="7"/>
        <v>-0.48732307692307691</v>
      </c>
    </row>
    <row r="29" spans="1:26" s="28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-7867.31</v>
      </c>
      <c r="E29" s="1"/>
      <c r="F29" s="5">
        <f t="shared" ref="F29:F39" si="8">IF(D$12=0,0,D29/D$12)</f>
        <v>0</v>
      </c>
      <c r="G29" s="1"/>
      <c r="H29" s="1">
        <f>SUM(OSRRefH22_1x_0)</f>
        <v>21489.076923076907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-29356.386923076909</v>
      </c>
      <c r="M29" s="1"/>
      <c r="N29" s="5">
        <f t="shared" ref="N29:N39" si="11">IF(H29=0,0,L29/H29)</f>
        <v>-1.366107396244246</v>
      </c>
      <c r="O29" s="14"/>
      <c r="P29" s="1">
        <f>SUM(OSRRefP22_1x_0)</f>
        <v>42986.66</v>
      </c>
      <c r="Q29" s="1"/>
      <c r="R29" s="5">
        <f t="shared" ref="R29:R39" si="12">IF(P$12=0,0,P29/P$12)</f>
        <v>0</v>
      </c>
      <c r="S29" s="1"/>
      <c r="T29" s="1">
        <f>SUM(OSRRefT22_1x_0)</f>
        <v>77360.676923076797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-34374.016923076793</v>
      </c>
      <c r="Y29" s="1"/>
      <c r="Z29" s="5">
        <f t="shared" ref="Z29:Z39" si="15">IF(T29=0,0,X29/T29)</f>
        <v>-0.44433448995355129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>
        <v>-13988.03</v>
      </c>
      <c r="E30" s="2"/>
      <c r="F30" s="6">
        <f t="shared" si="8"/>
        <v>0</v>
      </c>
      <c r="G30" s="2"/>
      <c r="H30" s="7">
        <v>15657.692307692299</v>
      </c>
      <c r="I30" s="2"/>
      <c r="J30" s="6">
        <f t="shared" si="9"/>
        <v>0</v>
      </c>
      <c r="K30" s="2"/>
      <c r="L30" s="7">
        <f t="shared" si="10"/>
        <v>-29645.7223076923</v>
      </c>
      <c r="M30" s="2"/>
      <c r="N30" s="6">
        <f t="shared" si="11"/>
        <v>-1.893364726111521</v>
      </c>
      <c r="O30" s="11"/>
      <c r="P30" s="7">
        <v>23645.56</v>
      </c>
      <c r="Q30" s="2"/>
      <c r="R30" s="6">
        <f t="shared" si="12"/>
        <v>0</v>
      </c>
      <c r="S30" s="2"/>
      <c r="T30" s="7">
        <v>56367.692307692203</v>
      </c>
      <c r="U30" s="2"/>
      <c r="V30" s="6">
        <f t="shared" si="13"/>
        <v>0</v>
      </c>
      <c r="W30" s="2"/>
      <c r="X30" s="7">
        <f t="shared" si="14"/>
        <v>-32722.132307692202</v>
      </c>
      <c r="Y30" s="2"/>
      <c r="Z30" s="6">
        <f t="shared" si="15"/>
        <v>-0.58051218646797054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7">
        <v>6120.72</v>
      </c>
      <c r="E31" s="2"/>
      <c r="F31" s="6">
        <f t="shared" si="8"/>
        <v>0</v>
      </c>
      <c r="G31" s="2"/>
      <c r="H31" s="7">
        <v>5831.3846153846098</v>
      </c>
      <c r="I31" s="2"/>
      <c r="J31" s="6">
        <f t="shared" si="9"/>
        <v>0</v>
      </c>
      <c r="K31" s="2"/>
      <c r="L31" s="7">
        <f t="shared" si="10"/>
        <v>289.33538461539047</v>
      </c>
      <c r="M31" s="2"/>
      <c r="N31" s="6">
        <f t="shared" si="11"/>
        <v>4.9616926973407555E-2</v>
      </c>
      <c r="O31" s="11"/>
      <c r="P31" s="7">
        <v>19341.099999999999</v>
      </c>
      <c r="Q31" s="2"/>
      <c r="R31" s="6">
        <f t="shared" si="12"/>
        <v>0</v>
      </c>
      <c r="S31" s="2"/>
      <c r="T31" s="7">
        <v>20992.984615384601</v>
      </c>
      <c r="U31" s="2"/>
      <c r="V31" s="6">
        <f t="shared" si="13"/>
        <v>0</v>
      </c>
      <c r="W31" s="2"/>
      <c r="X31" s="7">
        <f t="shared" si="14"/>
        <v>-1651.8846153846025</v>
      </c>
      <c r="Y31" s="2"/>
      <c r="Z31" s="6">
        <f t="shared" si="15"/>
        <v>-7.8687458960648562E-2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54" si="16">IF(D$12=0,0,D40/D$12)</f>
        <v>0</v>
      </c>
      <c r="G40" s="1"/>
      <c r="H40" s="1">
        <f>SUM(OSRRefH22_2x_0)</f>
        <v>250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-250</v>
      </c>
      <c r="M40" s="1"/>
      <c r="N40" s="5">
        <f t="shared" ref="N40:N54" si="19">IF(H40=0,0,L40/H40)</f>
        <v>-1</v>
      </c>
      <c r="O40" s="14"/>
      <c r="P40" s="1">
        <f>SUM(OSRRefP22_2x_0)</f>
        <v>186.42</v>
      </c>
      <c r="Q40" s="1"/>
      <c r="R40" s="5">
        <f t="shared" ref="R40:R54" si="20">IF(P$12=0,0,P40/P$12)</f>
        <v>0</v>
      </c>
      <c r="S40" s="1"/>
      <c r="T40" s="1">
        <f>SUM(OSRRefT22_2x_0)</f>
        <v>600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-413.58000000000004</v>
      </c>
      <c r="Y40" s="1"/>
      <c r="Z40" s="5">
        <f t="shared" ref="Z40:Z54" si="23">IF(T40=0,0,X40/T40)</f>
        <v>-0.68930000000000002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>
        <v>250</v>
      </c>
      <c r="I41" s="2"/>
      <c r="J41" s="6">
        <f t="shared" si="17"/>
        <v>0</v>
      </c>
      <c r="K41" s="2"/>
      <c r="L41" s="7">
        <f t="shared" si="18"/>
        <v>-250</v>
      </c>
      <c r="M41" s="2"/>
      <c r="N41" s="6">
        <f t="shared" si="19"/>
        <v>-1</v>
      </c>
      <c r="O41" s="11"/>
      <c r="P41" s="7">
        <v>186.42</v>
      </c>
      <c r="Q41" s="2"/>
      <c r="R41" s="6">
        <f t="shared" si="20"/>
        <v>0</v>
      </c>
      <c r="S41" s="2"/>
      <c r="T41" s="7">
        <v>600</v>
      </c>
      <c r="U41" s="2"/>
      <c r="V41" s="6">
        <f t="shared" si="21"/>
        <v>0</v>
      </c>
      <c r="W41" s="2"/>
      <c r="X41" s="7">
        <f t="shared" si="22"/>
        <v>-413.58000000000004</v>
      </c>
      <c r="Y41" s="2"/>
      <c r="Z41" s="6">
        <f t="shared" si="23"/>
        <v>-0.68930000000000002</v>
      </c>
    </row>
    <row r="42" spans="1:26" s="28" customFormat="1" outlineLevel="1" collapsed="1" x14ac:dyDescent="0.25">
      <c r="A42" s="29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314.87</v>
      </c>
      <c r="E42" s="1"/>
      <c r="F42" s="5">
        <f t="shared" si="16"/>
        <v>0</v>
      </c>
      <c r="G42" s="1"/>
      <c r="H42" s="1">
        <f>SUM(OSRRefH22_3x_0)</f>
        <v>315</v>
      </c>
      <c r="I42" s="1"/>
      <c r="J42" s="5">
        <f t="shared" si="17"/>
        <v>0</v>
      </c>
      <c r="K42" s="1"/>
      <c r="L42" s="1">
        <f t="shared" si="18"/>
        <v>-0.12999999999999545</v>
      </c>
      <c r="M42" s="1"/>
      <c r="N42" s="5">
        <f t="shared" si="19"/>
        <v>-4.1269841269839827E-4</v>
      </c>
      <c r="O42" s="14"/>
      <c r="P42" s="1">
        <f>SUM(OSRRefP22_3x_0)</f>
        <v>1259.48</v>
      </c>
      <c r="Q42" s="1"/>
      <c r="R42" s="5">
        <f t="shared" si="20"/>
        <v>0</v>
      </c>
      <c r="S42" s="1"/>
      <c r="T42" s="1">
        <f>SUM(OSRRefT22_3x_0)</f>
        <v>1260</v>
      </c>
      <c r="U42" s="1"/>
      <c r="V42" s="5">
        <f t="shared" si="21"/>
        <v>0</v>
      </c>
      <c r="W42" s="1"/>
      <c r="X42" s="1">
        <f t="shared" si="22"/>
        <v>-0.51999999999998181</v>
      </c>
      <c r="Y42" s="1"/>
      <c r="Z42" s="5">
        <f t="shared" si="23"/>
        <v>-4.1269841269839827E-4</v>
      </c>
    </row>
    <row r="43" spans="1:26" s="24" customFormat="1" hidden="1" outlineLevel="2" x14ac:dyDescent="0.25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314.87</v>
      </c>
      <c r="E43" s="2"/>
      <c r="F43" s="6">
        <f t="shared" si="16"/>
        <v>0</v>
      </c>
      <c r="G43" s="2"/>
      <c r="H43" s="7">
        <v>315</v>
      </c>
      <c r="I43" s="2"/>
      <c r="J43" s="6">
        <f t="shared" si="17"/>
        <v>0</v>
      </c>
      <c r="K43" s="2"/>
      <c r="L43" s="7">
        <f t="shared" si="18"/>
        <v>-0.12999999999999545</v>
      </c>
      <c r="M43" s="2"/>
      <c r="N43" s="6">
        <f t="shared" si="19"/>
        <v>-4.1269841269839827E-4</v>
      </c>
      <c r="O43" s="11"/>
      <c r="P43" s="7">
        <v>1259.48</v>
      </c>
      <c r="Q43" s="2"/>
      <c r="R43" s="6">
        <f t="shared" si="20"/>
        <v>0</v>
      </c>
      <c r="S43" s="2"/>
      <c r="T43" s="7">
        <v>1260</v>
      </c>
      <c r="U43" s="2"/>
      <c r="V43" s="6">
        <f t="shared" si="21"/>
        <v>0</v>
      </c>
      <c r="W43" s="2"/>
      <c r="X43" s="7">
        <f t="shared" si="22"/>
        <v>-0.51999999999998181</v>
      </c>
      <c r="Y43" s="2"/>
      <c r="Z43" s="6">
        <f t="shared" si="23"/>
        <v>-4.1269841269839827E-4</v>
      </c>
    </row>
    <row r="44" spans="1:26" s="28" customFormat="1" outlineLevel="1" collapsed="1" x14ac:dyDescent="0.25">
      <c r="A44" s="29"/>
      <c r="B44" s="14" t="str">
        <f>CONCATENATE("     ","Donations                                         ")</f>
        <v xml:space="preserve">     Donations              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2750</v>
      </c>
      <c r="I44" s="1"/>
      <c r="J44" s="5">
        <f t="shared" si="17"/>
        <v>0</v>
      </c>
      <c r="K44" s="1"/>
      <c r="L44" s="1">
        <f t="shared" si="18"/>
        <v>-2750</v>
      </c>
      <c r="M44" s="1"/>
      <c r="N44" s="5">
        <f t="shared" si="19"/>
        <v>-1</v>
      </c>
      <c r="O44" s="14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40450</v>
      </c>
      <c r="U44" s="1"/>
      <c r="V44" s="5">
        <f t="shared" si="21"/>
        <v>0</v>
      </c>
      <c r="W44" s="1"/>
      <c r="X44" s="1">
        <f t="shared" si="22"/>
        <v>-40450</v>
      </c>
      <c r="Y44" s="1"/>
      <c r="Z44" s="5">
        <f t="shared" si="23"/>
        <v>-1</v>
      </c>
    </row>
    <row r="45" spans="1:26" s="24" customFormat="1" hidden="1" outlineLevel="2" x14ac:dyDescent="0.25">
      <c r="A45" s="27"/>
      <c r="B45" s="11" t="str">
        <f>CONCATENATE("          ", "6399", " - ", "DONATION-ON CAMPUS")</f>
        <v xml:space="preserve">          6399 - DONATION-ON CAMPUS</v>
      </c>
      <c r="C45" s="11"/>
      <c r="D45" s="7"/>
      <c r="E45" s="2"/>
      <c r="F45" s="6">
        <f t="shared" si="16"/>
        <v>0</v>
      </c>
      <c r="G45" s="2"/>
      <c r="H45" s="7">
        <v>2750</v>
      </c>
      <c r="I45" s="2"/>
      <c r="J45" s="6">
        <f t="shared" si="17"/>
        <v>0</v>
      </c>
      <c r="K45" s="2"/>
      <c r="L45" s="7">
        <f t="shared" si="18"/>
        <v>-2750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40450</v>
      </c>
      <c r="U45" s="2"/>
      <c r="V45" s="6">
        <f t="shared" si="21"/>
        <v>0</v>
      </c>
      <c r="W45" s="2"/>
      <c r="X45" s="7">
        <f t="shared" si="22"/>
        <v>-40450</v>
      </c>
      <c r="Y45" s="2"/>
      <c r="Z45" s="6">
        <f t="shared" si="23"/>
        <v>-1</v>
      </c>
    </row>
    <row r="46" spans="1:26" s="28" customFormat="1" outlineLevel="1" collapsed="1" x14ac:dyDescent="0.25">
      <c r="A46" s="29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SUM(OSRRefD22_5x_0)</f>
        <v>117.71</v>
      </c>
      <c r="E46" s="1"/>
      <c r="F46" s="5">
        <f t="shared" si="16"/>
        <v>0</v>
      </c>
      <c r="G46" s="1"/>
      <c r="H46" s="1">
        <f>SUM(OSRRefH22_5x_0)</f>
        <v>118</v>
      </c>
      <c r="I46" s="1"/>
      <c r="J46" s="5">
        <f t="shared" si="17"/>
        <v>0</v>
      </c>
      <c r="K46" s="1"/>
      <c r="L46" s="1">
        <f t="shared" si="18"/>
        <v>-0.29000000000000625</v>
      </c>
      <c r="M46" s="1"/>
      <c r="N46" s="5">
        <f t="shared" si="19"/>
        <v>-2.457627118644121E-3</v>
      </c>
      <c r="O46" s="14"/>
      <c r="P46" s="1">
        <f>SUM(OSRRefP22_5x_0)</f>
        <v>470.84</v>
      </c>
      <c r="Q46" s="1"/>
      <c r="R46" s="5">
        <f t="shared" si="20"/>
        <v>0</v>
      </c>
      <c r="S46" s="1"/>
      <c r="T46" s="1">
        <f>SUM(OSRRefT22_5x_0)</f>
        <v>472</v>
      </c>
      <c r="U46" s="1"/>
      <c r="V46" s="5">
        <f t="shared" si="21"/>
        <v>0</v>
      </c>
      <c r="W46" s="1"/>
      <c r="X46" s="1">
        <f t="shared" si="22"/>
        <v>-1.160000000000025</v>
      </c>
      <c r="Y46" s="1"/>
      <c r="Z46" s="5">
        <f t="shared" si="23"/>
        <v>-2.457627118644121E-3</v>
      </c>
    </row>
    <row r="47" spans="1:26" s="24" customFormat="1" hidden="1" outlineLevel="2" x14ac:dyDescent="0.25">
      <c r="A47" s="27"/>
      <c r="B47" s="11" t="str">
        <f>CONCATENATE("          ", "6351", " - ", "EQUIPMENT RENTAL")</f>
        <v xml:space="preserve">          6351 - EQUIPMENT RENTAL</v>
      </c>
      <c r="C47" s="11"/>
      <c r="D47" s="7">
        <v>117.71</v>
      </c>
      <c r="E47" s="2"/>
      <c r="F47" s="6">
        <f t="shared" si="16"/>
        <v>0</v>
      </c>
      <c r="G47" s="2"/>
      <c r="H47" s="7">
        <v>118</v>
      </c>
      <c r="I47" s="2"/>
      <c r="J47" s="6">
        <f t="shared" si="17"/>
        <v>0</v>
      </c>
      <c r="K47" s="2"/>
      <c r="L47" s="7">
        <f t="shared" si="18"/>
        <v>-0.29000000000000625</v>
      </c>
      <c r="M47" s="2"/>
      <c r="N47" s="6">
        <f t="shared" si="19"/>
        <v>-2.457627118644121E-3</v>
      </c>
      <c r="O47" s="11"/>
      <c r="P47" s="7">
        <v>470.84</v>
      </c>
      <c r="Q47" s="2"/>
      <c r="R47" s="6">
        <f t="shared" si="20"/>
        <v>0</v>
      </c>
      <c r="S47" s="2"/>
      <c r="T47" s="7">
        <v>472</v>
      </c>
      <c r="U47" s="2"/>
      <c r="V47" s="6">
        <f t="shared" si="21"/>
        <v>0</v>
      </c>
      <c r="W47" s="2"/>
      <c r="X47" s="7">
        <f t="shared" si="22"/>
        <v>-1.160000000000025</v>
      </c>
      <c r="Y47" s="2"/>
      <c r="Z47" s="6">
        <f t="shared" si="23"/>
        <v>-2.457627118644121E-3</v>
      </c>
    </row>
    <row r="48" spans="1:26" s="28" customFormat="1" outlineLevel="1" collapsed="1" x14ac:dyDescent="0.25">
      <c r="A48" s="29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25</v>
      </c>
      <c r="I48" s="1"/>
      <c r="J48" s="5">
        <f t="shared" si="17"/>
        <v>0</v>
      </c>
      <c r="K48" s="1"/>
      <c r="L48" s="1">
        <f t="shared" si="18"/>
        <v>-25</v>
      </c>
      <c r="M48" s="1"/>
      <c r="N48" s="5">
        <f t="shared" si="19"/>
        <v>-1</v>
      </c>
      <c r="O48" s="14"/>
      <c r="P48" s="1">
        <f>SUM(OSRRefP22_6x_0)</f>
        <v>19.850000000000001</v>
      </c>
      <c r="Q48" s="1"/>
      <c r="R48" s="5">
        <f t="shared" si="20"/>
        <v>0</v>
      </c>
      <c r="S48" s="1"/>
      <c r="T48" s="1">
        <f>SUM(OSRRefT22_6x_0)</f>
        <v>175</v>
      </c>
      <c r="U48" s="1"/>
      <c r="V48" s="5">
        <f t="shared" si="21"/>
        <v>0</v>
      </c>
      <c r="W48" s="1"/>
      <c r="X48" s="1">
        <f t="shared" si="22"/>
        <v>-155.15</v>
      </c>
      <c r="Y48" s="1"/>
      <c r="Z48" s="5">
        <f t="shared" si="23"/>
        <v>-0.88657142857142857</v>
      </c>
    </row>
    <row r="49" spans="1:26" s="24" customFormat="1" hidden="1" outlineLevel="2" x14ac:dyDescent="0.25">
      <c r="A49" s="27"/>
      <c r="B49" s="11" t="str">
        <f>CONCATENATE("          ", "6307", " - ", "POSTAGE")</f>
        <v xml:space="preserve">          6307 - POSTAGE</v>
      </c>
      <c r="C49" s="11"/>
      <c r="D49" s="7"/>
      <c r="E49" s="2"/>
      <c r="F49" s="6">
        <f t="shared" si="16"/>
        <v>0</v>
      </c>
      <c r="G49" s="2"/>
      <c r="H49" s="7">
        <v>25</v>
      </c>
      <c r="I49" s="2"/>
      <c r="J49" s="6">
        <f t="shared" si="17"/>
        <v>0</v>
      </c>
      <c r="K49" s="2"/>
      <c r="L49" s="7">
        <f t="shared" si="18"/>
        <v>-25</v>
      </c>
      <c r="M49" s="2"/>
      <c r="N49" s="6">
        <f t="shared" si="19"/>
        <v>-1</v>
      </c>
      <c r="O49" s="11"/>
      <c r="P49" s="7">
        <v>19.850000000000001</v>
      </c>
      <c r="Q49" s="2"/>
      <c r="R49" s="6">
        <f t="shared" si="20"/>
        <v>0</v>
      </c>
      <c r="S49" s="2"/>
      <c r="T49" s="7">
        <v>175</v>
      </c>
      <c r="U49" s="2"/>
      <c r="V49" s="6">
        <f t="shared" si="21"/>
        <v>0</v>
      </c>
      <c r="W49" s="2"/>
      <c r="X49" s="7">
        <f t="shared" si="22"/>
        <v>-155.15</v>
      </c>
      <c r="Y49" s="2"/>
      <c r="Z49" s="6">
        <f t="shared" si="23"/>
        <v>-0.88657142857142857</v>
      </c>
    </row>
    <row r="50" spans="1:26" s="28" customFormat="1" outlineLevel="1" collapsed="1" x14ac:dyDescent="0.25">
      <c r="A50" s="29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SUM(OSRRefD22_7x_0)</f>
        <v>156.47999999999999</v>
      </c>
      <c r="E50" s="1"/>
      <c r="F50" s="5">
        <f t="shared" si="16"/>
        <v>0</v>
      </c>
      <c r="G50" s="1"/>
      <c r="H50" s="1">
        <f>SUM(OSRRefH22_7x_0)</f>
        <v>150</v>
      </c>
      <c r="I50" s="1"/>
      <c r="J50" s="5">
        <f t="shared" si="17"/>
        <v>0</v>
      </c>
      <c r="K50" s="1"/>
      <c r="L50" s="1">
        <f t="shared" si="18"/>
        <v>6.4799999999999898</v>
      </c>
      <c r="M50" s="1"/>
      <c r="N50" s="5">
        <f t="shared" si="19"/>
        <v>4.3199999999999933E-2</v>
      </c>
      <c r="O50" s="14"/>
      <c r="P50" s="1">
        <f>SUM(OSRRefP22_7x_0)</f>
        <v>625.91999999999996</v>
      </c>
      <c r="Q50" s="1"/>
      <c r="R50" s="5">
        <f t="shared" si="20"/>
        <v>0</v>
      </c>
      <c r="S50" s="1"/>
      <c r="T50" s="1">
        <f>SUM(OSRRefT22_7x_0)</f>
        <v>600</v>
      </c>
      <c r="U50" s="1"/>
      <c r="V50" s="5">
        <f t="shared" si="21"/>
        <v>0</v>
      </c>
      <c r="W50" s="1"/>
      <c r="X50" s="1">
        <f t="shared" si="22"/>
        <v>25.919999999999959</v>
      </c>
      <c r="Y50" s="1"/>
      <c r="Z50" s="5">
        <f t="shared" si="23"/>
        <v>4.3199999999999933E-2</v>
      </c>
    </row>
    <row r="51" spans="1:26" s="24" customFormat="1" hidden="1" outlineLevel="2" x14ac:dyDescent="0.25">
      <c r="A51" s="27"/>
      <c r="B51" s="11" t="str">
        <f>CONCATENATE("          ", "6314", " - ", "LIABILITY INSURANCE")</f>
        <v xml:space="preserve">          6314 - LIABILITY INSURANCE</v>
      </c>
      <c r="C51" s="11"/>
      <c r="D51" s="7">
        <v>156.47999999999999</v>
      </c>
      <c r="E51" s="2"/>
      <c r="F51" s="6">
        <f t="shared" si="16"/>
        <v>0</v>
      </c>
      <c r="G51" s="2"/>
      <c r="H51" s="7">
        <v>150</v>
      </c>
      <c r="I51" s="2"/>
      <c r="J51" s="6">
        <f t="shared" si="17"/>
        <v>0</v>
      </c>
      <c r="K51" s="2"/>
      <c r="L51" s="7">
        <f t="shared" si="18"/>
        <v>6.4799999999999898</v>
      </c>
      <c r="M51" s="2"/>
      <c r="N51" s="6">
        <f t="shared" si="19"/>
        <v>4.3199999999999933E-2</v>
      </c>
      <c r="O51" s="11"/>
      <c r="P51" s="7">
        <v>625.91999999999996</v>
      </c>
      <c r="Q51" s="2"/>
      <c r="R51" s="6">
        <f t="shared" si="20"/>
        <v>0</v>
      </c>
      <c r="S51" s="2"/>
      <c r="T51" s="7">
        <v>600</v>
      </c>
      <c r="U51" s="2"/>
      <c r="V51" s="6">
        <f t="shared" si="21"/>
        <v>0</v>
      </c>
      <c r="W51" s="2"/>
      <c r="X51" s="7">
        <f t="shared" si="22"/>
        <v>25.919999999999959</v>
      </c>
      <c r="Y51" s="2"/>
      <c r="Z51" s="6">
        <f t="shared" si="23"/>
        <v>4.3199999999999933E-2</v>
      </c>
    </row>
    <row r="52" spans="1:26" s="28" customFormat="1" outlineLevel="1" collapsed="1" x14ac:dyDescent="0.25">
      <c r="A52" s="29"/>
      <c r="B52" s="14" t="str">
        <f>CONCATENATE("     ","Professional Services                             ")</f>
        <v xml:space="preserve">     Professional Services                             </v>
      </c>
      <c r="C52" s="14"/>
      <c r="D52" s="1">
        <f>SUM(OSRRefD22_8x_0)</f>
        <v>18825</v>
      </c>
      <c r="E52" s="1"/>
      <c r="F52" s="5">
        <f t="shared" si="16"/>
        <v>0</v>
      </c>
      <c r="G52" s="1"/>
      <c r="H52" s="1">
        <f>SUM(OSRRefH22_8x_0)</f>
        <v>15000</v>
      </c>
      <c r="I52" s="1"/>
      <c r="J52" s="5">
        <f t="shared" si="17"/>
        <v>0</v>
      </c>
      <c r="K52" s="1"/>
      <c r="L52" s="1">
        <f t="shared" si="18"/>
        <v>3825</v>
      </c>
      <c r="M52" s="1"/>
      <c r="N52" s="5">
        <f t="shared" si="19"/>
        <v>0.255</v>
      </c>
      <c r="O52" s="14"/>
      <c r="P52" s="1">
        <f>SUM(OSRRefP22_8x_0)</f>
        <v>35325</v>
      </c>
      <c r="Q52" s="1"/>
      <c r="R52" s="5">
        <f t="shared" si="20"/>
        <v>0</v>
      </c>
      <c r="S52" s="1"/>
      <c r="T52" s="1">
        <f>SUM(OSRRefT22_8x_0)</f>
        <v>28000</v>
      </c>
      <c r="U52" s="1"/>
      <c r="V52" s="5">
        <f t="shared" si="21"/>
        <v>0</v>
      </c>
      <c r="W52" s="1"/>
      <c r="X52" s="1">
        <f t="shared" si="22"/>
        <v>7325</v>
      </c>
      <c r="Y52" s="1"/>
      <c r="Z52" s="5">
        <f t="shared" si="23"/>
        <v>0.26160714285714287</v>
      </c>
    </row>
    <row r="53" spans="1:26" s="24" customFormat="1" hidden="1" outlineLevel="2" x14ac:dyDescent="0.25">
      <c r="A53" s="27"/>
      <c r="B53" s="11" t="str">
        <f>CONCATENATE("          ", "6331", " - ", "INDIRECT COSTS-AUXILIARY ORGAN")</f>
        <v xml:space="preserve">          6331 - INDIRECT COSTS-AUXILIARY ORGAN</v>
      </c>
      <c r="C53" s="11"/>
      <c r="D53" s="7">
        <v>18750</v>
      </c>
      <c r="E53" s="2"/>
      <c r="F53" s="6">
        <f t="shared" si="16"/>
        <v>0</v>
      </c>
      <c r="G53" s="2"/>
      <c r="H53" s="7">
        <v>15000</v>
      </c>
      <c r="I53" s="2"/>
      <c r="J53" s="6">
        <f t="shared" si="17"/>
        <v>0</v>
      </c>
      <c r="K53" s="2"/>
      <c r="L53" s="7">
        <f t="shared" si="18"/>
        <v>3750</v>
      </c>
      <c r="M53" s="2"/>
      <c r="N53" s="6">
        <f t="shared" si="19"/>
        <v>0.25</v>
      </c>
      <c r="O53" s="11"/>
      <c r="P53" s="7">
        <v>35250</v>
      </c>
      <c r="Q53" s="2"/>
      <c r="R53" s="6">
        <f t="shared" si="20"/>
        <v>0</v>
      </c>
      <c r="S53" s="2"/>
      <c r="T53" s="7">
        <v>27000</v>
      </c>
      <c r="U53" s="2"/>
      <c r="V53" s="6">
        <f t="shared" si="21"/>
        <v>0</v>
      </c>
      <c r="W53" s="2"/>
      <c r="X53" s="7">
        <f t="shared" si="22"/>
        <v>8250</v>
      </c>
      <c r="Y53" s="2"/>
      <c r="Z53" s="6">
        <f t="shared" si="23"/>
        <v>0.30555555555555558</v>
      </c>
    </row>
    <row r="54" spans="1:26" s="24" customFormat="1" hidden="1" outlineLevel="2" x14ac:dyDescent="0.25">
      <c r="A54" s="27"/>
      <c r="B54" s="11" t="str">
        <f>CONCATENATE("          ", "6334", " - ", "LEGAL COUNCIL EXPENSE")</f>
        <v xml:space="preserve">          6334 - LEGAL COUNCIL EXPENSE</v>
      </c>
      <c r="C54" s="11"/>
      <c r="D54" s="7">
        <v>75</v>
      </c>
      <c r="E54" s="2"/>
      <c r="F54" s="6">
        <f t="shared" si="16"/>
        <v>0</v>
      </c>
      <c r="G54" s="2"/>
      <c r="H54" s="7"/>
      <c r="I54" s="2"/>
      <c r="J54" s="6">
        <f t="shared" si="17"/>
        <v>0</v>
      </c>
      <c r="K54" s="2"/>
      <c r="L54" s="7">
        <f t="shared" si="18"/>
        <v>75</v>
      </c>
      <c r="M54" s="2"/>
      <c r="N54" s="6">
        <f t="shared" si="19"/>
        <v>0</v>
      </c>
      <c r="O54" s="11"/>
      <c r="P54" s="7">
        <v>75</v>
      </c>
      <c r="Q54" s="2"/>
      <c r="R54" s="6">
        <f t="shared" si="20"/>
        <v>0</v>
      </c>
      <c r="S54" s="2"/>
      <c r="T54" s="7">
        <v>1000</v>
      </c>
      <c r="U54" s="2"/>
      <c r="V54" s="6">
        <f t="shared" si="21"/>
        <v>0</v>
      </c>
      <c r="W54" s="2"/>
      <c r="X54" s="7">
        <f t="shared" si="22"/>
        <v>-925</v>
      </c>
      <c r="Y54" s="2"/>
      <c r="Z54" s="6">
        <f t="shared" si="23"/>
        <v>-0.92500000000000004</v>
      </c>
    </row>
    <row r="55" spans="1:26" s="28" customFormat="1" outlineLevel="1" collapsed="1" x14ac:dyDescent="0.25">
      <c r="A55" s="29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2699.47</v>
      </c>
      <c r="E55" s="1"/>
      <c r="F55" s="5">
        <f t="shared" ref="F55:F57" si="24">IF(D$12=0,0,D55/D$12)</f>
        <v>0</v>
      </c>
      <c r="G55" s="1"/>
      <c r="H55" s="1">
        <f>SUM(OSRRefH22_9x_0)</f>
        <v>1530</v>
      </c>
      <c r="I55" s="1"/>
      <c r="J55" s="5">
        <f t="shared" ref="J55:J57" si="25">IF(H$12=0,0,H55/H$12)</f>
        <v>0</v>
      </c>
      <c r="K55" s="1"/>
      <c r="L55" s="1">
        <f t="shared" ref="L55:L57" si="26">+D55-H55</f>
        <v>1169.4699999999998</v>
      </c>
      <c r="M55" s="1"/>
      <c r="N55" s="5">
        <f t="shared" ref="N55:N57" si="27">IF(H55=0,0,L55/H55)</f>
        <v>0.76435947712418284</v>
      </c>
      <c r="O55" s="14"/>
      <c r="P55" s="1">
        <f>SUM(OSRRefP22_9x_0)</f>
        <v>8004.6399999999994</v>
      </c>
      <c r="Q55" s="1"/>
      <c r="R55" s="5">
        <f t="shared" ref="R55:R57" si="28">IF(P$12=0,0,P55/P$12)</f>
        <v>0</v>
      </c>
      <c r="S55" s="1"/>
      <c r="T55" s="1">
        <f>SUM(OSRRefT22_9x_0)</f>
        <v>6120</v>
      </c>
      <c r="U55" s="1"/>
      <c r="V55" s="5">
        <f t="shared" ref="V55:V57" si="29">IF(T$12=0,0,T55/T$12)</f>
        <v>0</v>
      </c>
      <c r="W55" s="1"/>
      <c r="X55" s="1">
        <f t="shared" ref="X55:X57" si="30">+P55-T55</f>
        <v>1884.6399999999994</v>
      </c>
      <c r="Y55" s="1"/>
      <c r="Z55" s="5">
        <f t="shared" ref="Z55:Z57" si="31">IF(T55=0,0,X55/T55)</f>
        <v>0.30794771241830055</v>
      </c>
    </row>
    <row r="56" spans="1:26" s="24" customFormat="1" hidden="1" outlineLevel="2" x14ac:dyDescent="0.25">
      <c r="A56" s="27"/>
      <c r="B56" s="11" t="str">
        <f>CONCATENATE("          ", "6373", " - ", "MAINTENANCE CONTRACTS")</f>
        <v xml:space="preserve">          6373 - MAINTENANCE CONTRACTS</v>
      </c>
      <c r="C56" s="11"/>
      <c r="D56" s="7">
        <v>2699.47</v>
      </c>
      <c r="E56" s="2"/>
      <c r="F56" s="6">
        <f t="shared" si="24"/>
        <v>0</v>
      </c>
      <c r="G56" s="2"/>
      <c r="H56" s="7">
        <v>1530</v>
      </c>
      <c r="I56" s="2"/>
      <c r="J56" s="6">
        <f t="shared" si="25"/>
        <v>0</v>
      </c>
      <c r="K56" s="2"/>
      <c r="L56" s="7">
        <f t="shared" si="26"/>
        <v>1169.4699999999998</v>
      </c>
      <c r="M56" s="2"/>
      <c r="N56" s="6">
        <f t="shared" si="27"/>
        <v>0.76435947712418284</v>
      </c>
      <c r="O56" s="11"/>
      <c r="P56" s="7">
        <v>7906.65</v>
      </c>
      <c r="Q56" s="2"/>
      <c r="R56" s="6">
        <f t="shared" si="28"/>
        <v>0</v>
      </c>
      <c r="S56" s="2"/>
      <c r="T56" s="7">
        <v>6120</v>
      </c>
      <c r="U56" s="2"/>
      <c r="V56" s="6">
        <f t="shared" si="29"/>
        <v>0</v>
      </c>
      <c r="W56" s="2"/>
      <c r="X56" s="7">
        <f t="shared" si="30"/>
        <v>1786.6499999999996</v>
      </c>
      <c r="Y56" s="2"/>
      <c r="Z56" s="6">
        <f t="shared" si="31"/>
        <v>0.29193627450980386</v>
      </c>
    </row>
    <row r="57" spans="1:26" s="24" customFormat="1" hidden="1" outlineLevel="2" x14ac:dyDescent="0.25">
      <c r="A57" s="27"/>
      <c r="B57" s="11" t="str">
        <f>CONCATENATE("          ", "6375", " - ", "OUTSIDE REPAIRS &amp; MAINTENANCE")</f>
        <v xml:space="preserve">          6375 - OUTSIDE REPAIRS &amp; MAINTENANCE</v>
      </c>
      <c r="C57" s="11"/>
      <c r="D57" s="7"/>
      <c r="E57" s="2"/>
      <c r="F57" s="6">
        <f t="shared" si="24"/>
        <v>0</v>
      </c>
      <c r="G57" s="2"/>
      <c r="H57" s="7"/>
      <c r="I57" s="2"/>
      <c r="J57" s="6">
        <f t="shared" si="25"/>
        <v>0</v>
      </c>
      <c r="K57" s="2"/>
      <c r="L57" s="7">
        <f t="shared" si="26"/>
        <v>0</v>
      </c>
      <c r="M57" s="2"/>
      <c r="N57" s="6">
        <f t="shared" si="27"/>
        <v>0</v>
      </c>
      <c r="O57" s="11"/>
      <c r="P57" s="7">
        <v>97.99</v>
      </c>
      <c r="Q57" s="2"/>
      <c r="R57" s="6">
        <f t="shared" si="28"/>
        <v>0</v>
      </c>
      <c r="S57" s="2"/>
      <c r="T57" s="7"/>
      <c r="U57" s="2"/>
      <c r="V57" s="6">
        <f t="shared" si="29"/>
        <v>0</v>
      </c>
      <c r="W57" s="2"/>
      <c r="X57" s="7">
        <f t="shared" si="30"/>
        <v>97.99</v>
      </c>
      <c r="Y57" s="2"/>
      <c r="Z57" s="6">
        <f t="shared" si="31"/>
        <v>0</v>
      </c>
    </row>
    <row r="58" spans="1:26" s="28" customFormat="1" outlineLevel="1" collapsed="1" x14ac:dyDescent="0.25">
      <c r="A58" s="29"/>
      <c r="B58" s="14" t="str">
        <f>CONCATENATE("     ","Subscriptions &amp; Dues                              ")</f>
        <v xml:space="preserve">     Subscriptions &amp; Dues                              </v>
      </c>
      <c r="C58" s="14"/>
      <c r="D58" s="1">
        <f>SUM(OSRRefD22_10x_0)</f>
        <v>0</v>
      </c>
      <c r="E58" s="1"/>
      <c r="F58" s="5">
        <f t="shared" ref="F58:F62" si="32">IF(D$12=0,0,D58/D$12)</f>
        <v>0</v>
      </c>
      <c r="G58" s="1"/>
      <c r="H58" s="1">
        <f>SUM(OSRRefH22_10x_0)</f>
        <v>0</v>
      </c>
      <c r="I58" s="1"/>
      <c r="J58" s="5">
        <f t="shared" ref="J58:J62" si="33">IF(H$12=0,0,H58/H$12)</f>
        <v>0</v>
      </c>
      <c r="K58" s="1"/>
      <c r="L58" s="1">
        <f t="shared" ref="L58:L62" si="34">+D58-H58</f>
        <v>0</v>
      </c>
      <c r="M58" s="1"/>
      <c r="N58" s="5">
        <f t="shared" ref="N58:N62" si="35">IF(H58=0,0,L58/H58)</f>
        <v>0</v>
      </c>
      <c r="O58" s="14"/>
      <c r="P58" s="1">
        <f>SUM(OSRRefP22_10x_0)</f>
        <v>1000</v>
      </c>
      <c r="Q58" s="1"/>
      <c r="R58" s="5">
        <f t="shared" ref="R58:R62" si="36">IF(P$12=0,0,P58/P$12)</f>
        <v>0</v>
      </c>
      <c r="S58" s="1"/>
      <c r="T58" s="1">
        <f>SUM(OSRRefT22_10x_0)</f>
        <v>1975</v>
      </c>
      <c r="U58" s="1"/>
      <c r="V58" s="5">
        <f t="shared" ref="V58:V62" si="37">IF(T$12=0,0,T58/T$12)</f>
        <v>0</v>
      </c>
      <c r="W58" s="1"/>
      <c r="X58" s="1">
        <f t="shared" ref="X58:X62" si="38">+P58-T58</f>
        <v>-975</v>
      </c>
      <c r="Y58" s="1"/>
      <c r="Z58" s="5">
        <f t="shared" ref="Z58:Z62" si="39">IF(T58=0,0,X58/T58)</f>
        <v>-0.49367088607594939</v>
      </c>
    </row>
    <row r="59" spans="1:26" s="24" customFormat="1" hidden="1" outlineLevel="2" x14ac:dyDescent="0.25">
      <c r="A59" s="27"/>
      <c r="B59" s="11" t="str">
        <f>CONCATENATE("          ", "6258", " - ", "MEMBERSHIP DUES")</f>
        <v xml:space="preserve">          6258 - MEMBERSHIP DUES</v>
      </c>
      <c r="C59" s="11"/>
      <c r="D59" s="7"/>
      <c r="E59" s="2"/>
      <c r="F59" s="6">
        <f t="shared" si="32"/>
        <v>0</v>
      </c>
      <c r="G59" s="2"/>
      <c r="H59" s="7"/>
      <c r="I59" s="2"/>
      <c r="J59" s="6">
        <f t="shared" si="33"/>
        <v>0</v>
      </c>
      <c r="K59" s="2"/>
      <c r="L59" s="7">
        <f t="shared" si="34"/>
        <v>0</v>
      </c>
      <c r="M59" s="2"/>
      <c r="N59" s="6">
        <f t="shared" si="35"/>
        <v>0</v>
      </c>
      <c r="O59" s="11"/>
      <c r="P59" s="7">
        <v>1000</v>
      </c>
      <c r="Q59" s="2"/>
      <c r="R59" s="6">
        <f t="shared" si="36"/>
        <v>0</v>
      </c>
      <c r="S59" s="2"/>
      <c r="T59" s="7">
        <v>1975</v>
      </c>
      <c r="U59" s="2"/>
      <c r="V59" s="6">
        <f t="shared" si="37"/>
        <v>0</v>
      </c>
      <c r="W59" s="2"/>
      <c r="X59" s="7">
        <f t="shared" si="38"/>
        <v>-975</v>
      </c>
      <c r="Y59" s="2"/>
      <c r="Z59" s="6">
        <f t="shared" si="39"/>
        <v>-0.49367088607594939</v>
      </c>
    </row>
    <row r="60" spans="1:26" s="28" customFormat="1" outlineLevel="1" collapsed="1" x14ac:dyDescent="0.25">
      <c r="A60" s="29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SUM(OSRRefD22_11x_0)</f>
        <v>196.39</v>
      </c>
      <c r="E60" s="1"/>
      <c r="F60" s="5">
        <f t="shared" si="32"/>
        <v>0</v>
      </c>
      <c r="G60" s="1"/>
      <c r="H60" s="1">
        <f>SUM(OSRRefH22_11x_0)</f>
        <v>125</v>
      </c>
      <c r="I60" s="1"/>
      <c r="J60" s="5">
        <f t="shared" si="33"/>
        <v>0</v>
      </c>
      <c r="K60" s="1"/>
      <c r="L60" s="1">
        <f t="shared" si="34"/>
        <v>71.389999999999986</v>
      </c>
      <c r="M60" s="1"/>
      <c r="N60" s="5">
        <f t="shared" si="35"/>
        <v>0.57111999999999985</v>
      </c>
      <c r="O60" s="14"/>
      <c r="P60" s="1">
        <f>SUM(OSRRefP22_11x_0)</f>
        <v>222.28</v>
      </c>
      <c r="Q60" s="1"/>
      <c r="R60" s="5">
        <f t="shared" si="36"/>
        <v>0</v>
      </c>
      <c r="S60" s="1"/>
      <c r="T60" s="1">
        <f>SUM(OSRRefT22_11x_0)</f>
        <v>500</v>
      </c>
      <c r="U60" s="1"/>
      <c r="V60" s="5">
        <f t="shared" si="37"/>
        <v>0</v>
      </c>
      <c r="W60" s="1"/>
      <c r="X60" s="1">
        <f t="shared" si="38"/>
        <v>-277.72000000000003</v>
      </c>
      <c r="Y60" s="1"/>
      <c r="Z60" s="5">
        <f t="shared" si="39"/>
        <v>-0.55544000000000004</v>
      </c>
    </row>
    <row r="61" spans="1:26" s="24" customFormat="1" hidden="1" outlineLevel="2" x14ac:dyDescent="0.25">
      <c r="A61" s="27"/>
      <c r="B61" s="11" t="str">
        <f>CONCATENATE("          ", "6234", " - ", "EXPENDABLE SUPPLIES &amp; EQUIPMEN")</f>
        <v xml:space="preserve">          6234 - EXPENDABLE SUPPLIES &amp; EQUIPMEN</v>
      </c>
      <c r="C61" s="11"/>
      <c r="D61" s="7"/>
      <c r="E61" s="2"/>
      <c r="F61" s="6">
        <f t="shared" si="32"/>
        <v>0</v>
      </c>
      <c r="G61" s="2"/>
      <c r="H61" s="7">
        <v>125</v>
      </c>
      <c r="I61" s="2"/>
      <c r="J61" s="6">
        <f t="shared" si="33"/>
        <v>0</v>
      </c>
      <c r="K61" s="2"/>
      <c r="L61" s="7">
        <f t="shared" si="34"/>
        <v>-125</v>
      </c>
      <c r="M61" s="2"/>
      <c r="N61" s="6">
        <f t="shared" si="35"/>
        <v>-1</v>
      </c>
      <c r="O61" s="11"/>
      <c r="P61" s="7"/>
      <c r="Q61" s="2"/>
      <c r="R61" s="6">
        <f t="shared" si="36"/>
        <v>0</v>
      </c>
      <c r="S61" s="2"/>
      <c r="T61" s="7">
        <v>500</v>
      </c>
      <c r="U61" s="2"/>
      <c r="V61" s="6">
        <f t="shared" si="37"/>
        <v>0</v>
      </c>
      <c r="W61" s="2"/>
      <c r="X61" s="7">
        <f t="shared" si="38"/>
        <v>-500</v>
      </c>
      <c r="Y61" s="2"/>
      <c r="Z61" s="6">
        <f t="shared" si="39"/>
        <v>-1</v>
      </c>
    </row>
    <row r="62" spans="1:26" s="24" customFormat="1" hidden="1" outlineLevel="2" x14ac:dyDescent="0.25">
      <c r="A62" s="27"/>
      <c r="B62" s="11" t="str">
        <f>CONCATENATE("          ", "6241", " - ", "OFFICE EXPENSE")</f>
        <v xml:space="preserve">          6241 - OFFICE EXPENSE</v>
      </c>
      <c r="C62" s="11"/>
      <c r="D62" s="7">
        <v>196.39</v>
      </c>
      <c r="E62" s="2"/>
      <c r="F62" s="6">
        <f t="shared" si="32"/>
        <v>0</v>
      </c>
      <c r="G62" s="2"/>
      <c r="H62" s="7"/>
      <c r="I62" s="2"/>
      <c r="J62" s="6">
        <f t="shared" si="33"/>
        <v>0</v>
      </c>
      <c r="K62" s="2"/>
      <c r="L62" s="7">
        <f t="shared" si="34"/>
        <v>196.39</v>
      </c>
      <c r="M62" s="2"/>
      <c r="N62" s="6">
        <f t="shared" si="35"/>
        <v>0</v>
      </c>
      <c r="O62" s="11"/>
      <c r="P62" s="7">
        <v>222.28</v>
      </c>
      <c r="Q62" s="2"/>
      <c r="R62" s="6">
        <f t="shared" si="36"/>
        <v>0</v>
      </c>
      <c r="S62" s="2"/>
      <c r="T62" s="7"/>
      <c r="U62" s="2"/>
      <c r="V62" s="6">
        <f t="shared" si="37"/>
        <v>0</v>
      </c>
      <c r="W62" s="2"/>
      <c r="X62" s="7">
        <f t="shared" si="38"/>
        <v>222.28</v>
      </c>
      <c r="Y62" s="2"/>
      <c r="Z62" s="6">
        <f t="shared" si="39"/>
        <v>0</v>
      </c>
    </row>
    <row r="63" spans="1:26" s="28" customFormat="1" outlineLevel="1" collapsed="1" x14ac:dyDescent="0.25">
      <c r="A63" s="29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SUM(OSRRefD22_12x_0)</f>
        <v>511.68</v>
      </c>
      <c r="E63" s="1"/>
      <c r="F63" s="5">
        <f t="shared" ref="F63:F66" si="40">IF(D$12=0,0,D63/D$12)</f>
        <v>0</v>
      </c>
      <c r="G63" s="1"/>
      <c r="H63" s="1">
        <f>SUM(OSRRefH22_12x_0)</f>
        <v>425</v>
      </c>
      <c r="I63" s="1"/>
      <c r="J63" s="5">
        <f t="shared" ref="J63:J66" si="41">IF(H$12=0,0,H63/H$12)</f>
        <v>0</v>
      </c>
      <c r="K63" s="1"/>
      <c r="L63" s="1">
        <f t="shared" ref="L63:L66" si="42">+D63-H63</f>
        <v>86.68</v>
      </c>
      <c r="M63" s="1"/>
      <c r="N63" s="5">
        <f t="shared" ref="N63:N66" si="43">IF(H63=0,0,L63/H63)</f>
        <v>0.20395294117647061</v>
      </c>
      <c r="O63" s="14"/>
      <c r="P63" s="1">
        <f>SUM(OSRRefP22_12x_0)</f>
        <v>1869.87</v>
      </c>
      <c r="Q63" s="1"/>
      <c r="R63" s="5">
        <f t="shared" ref="R63:R66" si="44">IF(P$12=0,0,P63/P$12)</f>
        <v>0</v>
      </c>
      <c r="S63" s="1"/>
      <c r="T63" s="1">
        <f>SUM(OSRRefT22_12x_0)</f>
        <v>1700</v>
      </c>
      <c r="U63" s="1"/>
      <c r="V63" s="5">
        <f t="shared" ref="V63:V66" si="45">IF(T$12=0,0,T63/T$12)</f>
        <v>0</v>
      </c>
      <c r="W63" s="1"/>
      <c r="X63" s="1">
        <f t="shared" ref="X63:X66" si="46">+P63-T63</f>
        <v>169.86999999999989</v>
      </c>
      <c r="Y63" s="1"/>
      <c r="Z63" s="5">
        <f t="shared" ref="Z63:Z66" si="47">IF(T63=0,0,X63/T63)</f>
        <v>9.9923529411764647E-2</v>
      </c>
    </row>
    <row r="64" spans="1:26" s="24" customFormat="1" hidden="1" outlineLevel="2" x14ac:dyDescent="0.25">
      <c r="A64" s="27"/>
      <c r="B64" s="11" t="str">
        <f>CONCATENATE("          ", "6309", " - ", "TELEPHONE")</f>
        <v xml:space="preserve">          6309 - TELEPHONE</v>
      </c>
      <c r="C64" s="11"/>
      <c r="D64" s="7">
        <v>511.68</v>
      </c>
      <c r="E64" s="2"/>
      <c r="F64" s="6">
        <f t="shared" si="40"/>
        <v>0</v>
      </c>
      <c r="G64" s="2"/>
      <c r="H64" s="7">
        <v>425</v>
      </c>
      <c r="I64" s="2"/>
      <c r="J64" s="6">
        <f t="shared" si="41"/>
        <v>0</v>
      </c>
      <c r="K64" s="2"/>
      <c r="L64" s="7">
        <f t="shared" si="42"/>
        <v>86.68</v>
      </c>
      <c r="M64" s="2"/>
      <c r="N64" s="6">
        <f t="shared" si="43"/>
        <v>0.20395294117647061</v>
      </c>
      <c r="O64" s="11"/>
      <c r="P64" s="7">
        <v>1869.87</v>
      </c>
      <c r="Q64" s="2"/>
      <c r="R64" s="6">
        <f t="shared" si="44"/>
        <v>0</v>
      </c>
      <c r="S64" s="2"/>
      <c r="T64" s="7">
        <v>1700</v>
      </c>
      <c r="U64" s="2"/>
      <c r="V64" s="6">
        <f t="shared" si="45"/>
        <v>0</v>
      </c>
      <c r="W64" s="2"/>
      <c r="X64" s="7">
        <f t="shared" si="46"/>
        <v>169.86999999999989</v>
      </c>
      <c r="Y64" s="2"/>
      <c r="Z64" s="6">
        <f t="shared" si="47"/>
        <v>9.9923529411764647E-2</v>
      </c>
    </row>
    <row r="65" spans="1:26" s="28" customFormat="1" outlineLevel="1" collapsed="1" x14ac:dyDescent="0.25">
      <c r="A65" s="29"/>
      <c r="B65" s="14" t="str">
        <f>CONCATENATE("     ","Training                                          ")</f>
        <v xml:space="preserve">     Training                                          </v>
      </c>
      <c r="C65" s="14"/>
      <c r="D65" s="1">
        <f>SUM(OSRRefD22_13x_0)</f>
        <v>0</v>
      </c>
      <c r="E65" s="1"/>
      <c r="F65" s="5">
        <f t="shared" si="40"/>
        <v>0</v>
      </c>
      <c r="G65" s="1"/>
      <c r="H65" s="1">
        <f>SUM(OSRRefH22_13x_0)</f>
        <v>250</v>
      </c>
      <c r="I65" s="1"/>
      <c r="J65" s="5">
        <f t="shared" si="41"/>
        <v>0</v>
      </c>
      <c r="K65" s="1"/>
      <c r="L65" s="1">
        <f t="shared" si="42"/>
        <v>-250</v>
      </c>
      <c r="M65" s="1"/>
      <c r="N65" s="5">
        <f t="shared" si="43"/>
        <v>-1</v>
      </c>
      <c r="O65" s="14"/>
      <c r="P65" s="1">
        <f>SUM(OSRRefP22_13x_0)</f>
        <v>0</v>
      </c>
      <c r="Q65" s="1"/>
      <c r="R65" s="5">
        <f t="shared" si="44"/>
        <v>0</v>
      </c>
      <c r="S65" s="1"/>
      <c r="T65" s="1">
        <f>SUM(OSRRefT22_13x_0)</f>
        <v>250</v>
      </c>
      <c r="U65" s="1"/>
      <c r="V65" s="5">
        <f t="shared" si="45"/>
        <v>0</v>
      </c>
      <c r="W65" s="1"/>
      <c r="X65" s="1">
        <f t="shared" si="46"/>
        <v>-250</v>
      </c>
      <c r="Y65" s="1"/>
      <c r="Z65" s="5">
        <f t="shared" si="47"/>
        <v>-1</v>
      </c>
    </row>
    <row r="66" spans="1:26" s="24" customFormat="1" hidden="1" outlineLevel="2" x14ac:dyDescent="0.25">
      <c r="A66" s="27"/>
      <c r="B66" s="11" t="str">
        <f>CONCATENATE("          ", "6376", " - ", "TRAINING")</f>
        <v xml:space="preserve">          6376 - TRAINING</v>
      </c>
      <c r="C66" s="11"/>
      <c r="D66" s="7"/>
      <c r="E66" s="2"/>
      <c r="F66" s="6">
        <f t="shared" si="40"/>
        <v>0</v>
      </c>
      <c r="G66" s="2"/>
      <c r="H66" s="7">
        <v>250</v>
      </c>
      <c r="I66" s="2"/>
      <c r="J66" s="6">
        <f t="shared" si="41"/>
        <v>0</v>
      </c>
      <c r="K66" s="2"/>
      <c r="L66" s="7">
        <f t="shared" si="42"/>
        <v>-250</v>
      </c>
      <c r="M66" s="2"/>
      <c r="N66" s="6">
        <f t="shared" si="43"/>
        <v>-1</v>
      </c>
      <c r="O66" s="11"/>
      <c r="P66" s="7"/>
      <c r="Q66" s="2"/>
      <c r="R66" s="6">
        <f t="shared" si="44"/>
        <v>0</v>
      </c>
      <c r="S66" s="2"/>
      <c r="T66" s="7">
        <v>250</v>
      </c>
      <c r="U66" s="2"/>
      <c r="V66" s="6">
        <f t="shared" si="45"/>
        <v>0</v>
      </c>
      <c r="W66" s="2"/>
      <c r="X66" s="7">
        <f t="shared" si="46"/>
        <v>-250</v>
      </c>
      <c r="Y66" s="2"/>
      <c r="Z66" s="6">
        <f t="shared" si="47"/>
        <v>-1</v>
      </c>
    </row>
    <row r="67" spans="1:26" s="60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5" t="s">
        <v>293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6" t="s">
        <v>277</v>
      </c>
      <c r="C70" s="26"/>
      <c r="D70" s="21">
        <f>+D16-D18+D68</f>
        <v>-27845.48</v>
      </c>
      <c r="E70" s="13"/>
      <c r="F70" s="20">
        <f>IF(D$12=0,0,D70/D$12)</f>
        <v>0</v>
      </c>
      <c r="G70" s="13"/>
      <c r="H70" s="21">
        <f>+H16-H18+H68</f>
        <v>-51922.47803846153</v>
      </c>
      <c r="I70" s="13"/>
      <c r="J70" s="20">
        <f>IF(H$12=0,0,H70/H$12)</f>
        <v>0</v>
      </c>
      <c r="K70" s="15"/>
      <c r="L70" s="21">
        <f>+D70-H70</f>
        <v>24076.99803846153</v>
      </c>
      <c r="M70" s="15"/>
      <c r="N70" s="20">
        <f>IF(H70=0,0,L70/H70)</f>
        <v>-0.46371049587861574</v>
      </c>
      <c r="O70" s="25"/>
      <c r="P70" s="21">
        <f>+P16-P18+P68</f>
        <v>-135984.29999999999</v>
      </c>
      <c r="Q70" s="13"/>
      <c r="R70" s="20">
        <f>IF(P$12=0,0,P70/P$12)</f>
        <v>0</v>
      </c>
      <c r="S70" s="13"/>
      <c r="T70" s="21">
        <f>+T16-T18+T68</f>
        <v>-195029.72093846143</v>
      </c>
      <c r="U70" s="13"/>
      <c r="V70" s="20">
        <f>IF(T$12=0,0,T70/T$12)</f>
        <v>0</v>
      </c>
      <c r="W70" s="15"/>
      <c r="X70" s="21">
        <f>+P70-T70</f>
        <v>59045.420938461437</v>
      </c>
      <c r="Y70" s="15"/>
      <c r="Z70" s="20">
        <f>IF(T70=0,0,X70/T70)</f>
        <v>-0.30275088665635885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128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6" t="s">
        <v>126</v>
      </c>
      <c r="C74" s="26"/>
      <c r="D74" s="31">
        <f>+D70-D72</f>
        <v>-27845.48</v>
      </c>
      <c r="E74" s="13"/>
      <c r="F74" s="33">
        <f>IF(D$12=0,0,D74/D$12)</f>
        <v>0</v>
      </c>
      <c r="G74" s="13"/>
      <c r="H74" s="31">
        <f>+H70-H72</f>
        <v>-51922.47803846153</v>
      </c>
      <c r="I74" s="13"/>
      <c r="J74" s="33">
        <f>IF(H$12=0,0,H74/H$12)</f>
        <v>0</v>
      </c>
      <c r="K74" s="15"/>
      <c r="L74" s="31">
        <f>D74-H74</f>
        <v>24076.99803846153</v>
      </c>
      <c r="M74" s="15"/>
      <c r="N74" s="33">
        <f>IF(H74=0,0,L74/H74)</f>
        <v>-0.46371049587861574</v>
      </c>
      <c r="O74" s="25"/>
      <c r="P74" s="31">
        <f>+P70-P72</f>
        <v>-135984.29999999999</v>
      </c>
      <c r="Q74" s="13"/>
      <c r="R74" s="33">
        <f>IF(P$12=0,0,P74/P$12)</f>
        <v>0</v>
      </c>
      <c r="S74" s="13"/>
      <c r="T74" s="31">
        <f>+T70-T72</f>
        <v>-195029.72093846143</v>
      </c>
      <c r="U74" s="13"/>
      <c r="V74" s="33">
        <f>IF(T$12=0,0,T74/T$12)</f>
        <v>0</v>
      </c>
      <c r="W74" s="15"/>
      <c r="X74" s="31">
        <f>P74-T74</f>
        <v>59045.420938461437</v>
      </c>
      <c r="Y74" s="15"/>
      <c r="Z74" s="33">
        <f>IF(T74=0,0,X74/T74)</f>
        <v>-0.30275088665635885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294</v>
      </c>
      <c r="C77" s="26"/>
      <c r="D77" s="35">
        <f>SUM(D74:D76)</f>
        <v>-27845.48</v>
      </c>
      <c r="E77" s="13"/>
      <c r="F77" s="32">
        <f>IF(D$12=0,0,D77/D$12)</f>
        <v>0</v>
      </c>
      <c r="G77" s="13"/>
      <c r="H77" s="35">
        <f>SUM(H74:H76)</f>
        <v>-51922.47803846153</v>
      </c>
      <c r="I77" s="13"/>
      <c r="J77" s="32">
        <f>IF(H$12=0,0,H77/H$12)</f>
        <v>0</v>
      </c>
      <c r="K77" s="15"/>
      <c r="L77" s="35">
        <f>+D77-H77</f>
        <v>24076.99803846153</v>
      </c>
      <c r="M77" s="15"/>
      <c r="N77" s="32">
        <f>IF(H77=0,0,L77/H77)</f>
        <v>-0.46371049587861574</v>
      </c>
      <c r="O77" s="25"/>
      <c r="P77" s="35">
        <f>SUM(P74:P76)</f>
        <v>-135984.29999999999</v>
      </c>
      <c r="Q77" s="13"/>
      <c r="R77" s="32">
        <f>IF(P$12=0,0,P77/P$12)</f>
        <v>0</v>
      </c>
      <c r="S77" s="13"/>
      <c r="T77" s="35">
        <f>SUM(T74:T76)</f>
        <v>-195029.72093846143</v>
      </c>
      <c r="U77" s="13"/>
      <c r="V77" s="32">
        <f>IF(T$12=0,0,T77/T$12)</f>
        <v>0</v>
      </c>
      <c r="W77" s="15"/>
      <c r="X77" s="35">
        <f>+P77-T77</f>
        <v>59045.420938461437</v>
      </c>
      <c r="Y77" s="15"/>
      <c r="Z77" s="32">
        <f>IF(T77=0,0,X77/T77)</f>
        <v>-0.30275088665635885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9">
        <v>44517.962875613426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62" t="s">
        <v>56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7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","202", " - ", "Accounting")</f>
        <v>Department 202 - Accounting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46230.25</v>
      </c>
      <c r="E18" s="22"/>
      <c r="F18" s="34">
        <f t="shared" ref="F18:F28" si="0">IF(D$12=0,0,D18/D$12)</f>
        <v>0</v>
      </c>
      <c r="G18" s="22"/>
      <c r="H18" s="22">
        <f>SUM(OSRRefH22x_0)</f>
        <v>44910.636430384591</v>
      </c>
      <c r="I18" s="22"/>
      <c r="J18" s="34">
        <f t="shared" ref="J18:J28" si="1">IF(H$12=0,0,H18/H$12)</f>
        <v>0</v>
      </c>
      <c r="K18" s="4"/>
      <c r="L18" s="22">
        <f t="shared" ref="L18:L28" si="2">+D18-H18</f>
        <v>1319.6135696154088</v>
      </c>
      <c r="M18" s="4"/>
      <c r="N18" s="34">
        <f t="shared" ref="N18:N28" si="3">IF(H18=0,0,L18/H18)</f>
        <v>2.9383096622576814E-2</v>
      </c>
      <c r="O18" s="10"/>
      <c r="P18" s="22">
        <f>SUM(OSRRefP22x_0)</f>
        <v>166089.64999999997</v>
      </c>
      <c r="Q18" s="22"/>
      <c r="R18" s="34">
        <f t="shared" ref="R18:R28" si="4">IF(P$12=0,0,P18/P$12)</f>
        <v>0</v>
      </c>
      <c r="S18" s="22"/>
      <c r="T18" s="22">
        <f>SUM(OSRRefT22x_0)</f>
        <v>160496.0831493845</v>
      </c>
      <c r="U18" s="22"/>
      <c r="V18" s="34">
        <f t="shared" ref="V18:V28" si="5">IF(T$12=0,0,T18/T$12)</f>
        <v>0</v>
      </c>
      <c r="W18" s="4"/>
      <c r="X18" s="22">
        <f t="shared" ref="X18:X28" si="6">+P18-T18</f>
        <v>5593.5668506154616</v>
      </c>
      <c r="Y18" s="4"/>
      <c r="Z18" s="34">
        <f t="shared" ref="Z18:Z28" si="7">IF(T18=0,0,X18/T18)</f>
        <v>3.4851734328053059E-2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16036.889999999998</v>
      </c>
      <c r="E19" s="1"/>
      <c r="F19" s="5">
        <f t="shared" si="0"/>
        <v>0</v>
      </c>
      <c r="G19" s="1"/>
      <c r="H19" s="1">
        <f>SUM(OSRRefH22_0x_0)</f>
        <v>14240.9171996154</v>
      </c>
      <c r="I19" s="1"/>
      <c r="J19" s="5">
        <f t="shared" si="1"/>
        <v>0</v>
      </c>
      <c r="K19" s="1"/>
      <c r="L19" s="1">
        <f t="shared" si="2"/>
        <v>1795.9728003845976</v>
      </c>
      <c r="M19" s="1"/>
      <c r="N19" s="5">
        <f t="shared" si="3"/>
        <v>0.12611356243494631</v>
      </c>
      <c r="O19" s="14"/>
      <c r="P19" s="1">
        <f>SUM(OSRRefP22_0x_0)</f>
        <v>54546.44</v>
      </c>
      <c r="Q19" s="1"/>
      <c r="R19" s="5">
        <f t="shared" si="4"/>
        <v>0</v>
      </c>
      <c r="S19" s="1"/>
      <c r="T19" s="1">
        <f>SUM(OSRRefT22_0x_0)</f>
        <v>53819.093918615414</v>
      </c>
      <c r="U19" s="1"/>
      <c r="V19" s="5">
        <f t="shared" si="5"/>
        <v>0</v>
      </c>
      <c r="W19" s="1"/>
      <c r="X19" s="1">
        <f t="shared" si="6"/>
        <v>727.34608138458862</v>
      </c>
      <c r="Y19" s="1"/>
      <c r="Z19" s="5">
        <f t="shared" si="7"/>
        <v>1.35146474685076E-2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2448.0700000000002</v>
      </c>
      <c r="E20" s="2"/>
      <c r="F20" s="6">
        <f t="shared" si="0"/>
        <v>0</v>
      </c>
      <c r="G20" s="2"/>
      <c r="H20" s="7">
        <v>2092.2212919230801</v>
      </c>
      <c r="I20" s="2"/>
      <c r="J20" s="6">
        <f t="shared" si="1"/>
        <v>0</v>
      </c>
      <c r="K20" s="2"/>
      <c r="L20" s="7">
        <f t="shared" si="2"/>
        <v>355.84870807692005</v>
      </c>
      <c r="M20" s="2"/>
      <c r="N20" s="6">
        <f t="shared" si="3"/>
        <v>0.17008177359185517</v>
      </c>
      <c r="O20" s="11"/>
      <c r="P20" s="7">
        <v>7332.75</v>
      </c>
      <c r="Q20" s="2"/>
      <c r="R20" s="6">
        <f t="shared" si="4"/>
        <v>0</v>
      </c>
      <c r="S20" s="2"/>
      <c r="T20" s="7">
        <v>7531.9966509230799</v>
      </c>
      <c r="U20" s="2"/>
      <c r="V20" s="6">
        <f t="shared" si="5"/>
        <v>0</v>
      </c>
      <c r="W20" s="2"/>
      <c r="X20" s="7">
        <f t="shared" si="6"/>
        <v>-199.24665092307987</v>
      </c>
      <c r="Y20" s="2"/>
      <c r="Z20" s="6">
        <f t="shared" si="7"/>
        <v>-2.6453364248198556E-2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427.44</v>
      </c>
      <c r="E21" s="2"/>
      <c r="F21" s="6">
        <f t="shared" si="0"/>
        <v>0</v>
      </c>
      <c r="G21" s="2"/>
      <c r="H21" s="7">
        <v>93.429588461538501</v>
      </c>
      <c r="I21" s="2"/>
      <c r="J21" s="6">
        <f t="shared" si="1"/>
        <v>0</v>
      </c>
      <c r="K21" s="2"/>
      <c r="L21" s="7">
        <f t="shared" si="2"/>
        <v>334.01041153846148</v>
      </c>
      <c r="M21" s="2"/>
      <c r="N21" s="6">
        <f t="shared" si="3"/>
        <v>3.5749960696440528</v>
      </c>
      <c r="O21" s="11"/>
      <c r="P21" s="7">
        <v>1262.69</v>
      </c>
      <c r="Q21" s="2"/>
      <c r="R21" s="6">
        <f t="shared" si="4"/>
        <v>0</v>
      </c>
      <c r="S21" s="2"/>
      <c r="T21" s="7">
        <v>320.72251846153898</v>
      </c>
      <c r="U21" s="2"/>
      <c r="V21" s="6">
        <f t="shared" si="5"/>
        <v>0</v>
      </c>
      <c r="W21" s="2"/>
      <c r="X21" s="7">
        <f t="shared" si="6"/>
        <v>941.96748153846102</v>
      </c>
      <c r="Y21" s="2"/>
      <c r="Z21" s="6">
        <f t="shared" si="7"/>
        <v>2.9370169767216443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6221.66</v>
      </c>
      <c r="E22" s="2"/>
      <c r="F22" s="6">
        <f t="shared" si="0"/>
        <v>0</v>
      </c>
      <c r="G22" s="2"/>
      <c r="H22" s="7">
        <v>6123</v>
      </c>
      <c r="I22" s="2"/>
      <c r="J22" s="6">
        <f t="shared" si="1"/>
        <v>0</v>
      </c>
      <c r="K22" s="2"/>
      <c r="L22" s="7">
        <f t="shared" si="2"/>
        <v>98.659999999999854</v>
      </c>
      <c r="M22" s="2"/>
      <c r="N22" s="6">
        <f t="shared" si="3"/>
        <v>1.6113016495182077E-2</v>
      </c>
      <c r="O22" s="11"/>
      <c r="P22" s="7">
        <v>24931.64</v>
      </c>
      <c r="Q22" s="2"/>
      <c r="R22" s="6">
        <f t="shared" si="4"/>
        <v>0</v>
      </c>
      <c r="S22" s="2"/>
      <c r="T22" s="7">
        <v>24492</v>
      </c>
      <c r="U22" s="2"/>
      <c r="V22" s="6">
        <f t="shared" si="5"/>
        <v>0</v>
      </c>
      <c r="W22" s="2"/>
      <c r="X22" s="7">
        <f t="shared" si="6"/>
        <v>439.63999999999942</v>
      </c>
      <c r="Y22" s="2"/>
      <c r="Z22" s="6">
        <f t="shared" si="7"/>
        <v>1.7950351135064487E-2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86.15</v>
      </c>
      <c r="E23" s="2"/>
      <c r="F23" s="6">
        <f t="shared" si="0"/>
        <v>0</v>
      </c>
      <c r="G23" s="2"/>
      <c r="H23" s="7">
        <v>63.291011538461497</v>
      </c>
      <c r="I23" s="2"/>
      <c r="J23" s="6">
        <f t="shared" si="1"/>
        <v>0</v>
      </c>
      <c r="K23" s="2"/>
      <c r="L23" s="7">
        <f t="shared" si="2"/>
        <v>22.858988461538509</v>
      </c>
      <c r="M23" s="2"/>
      <c r="N23" s="6">
        <f t="shared" si="3"/>
        <v>0.36117274642778091</v>
      </c>
      <c r="O23" s="11"/>
      <c r="P23" s="7">
        <v>254.5</v>
      </c>
      <c r="Q23" s="2"/>
      <c r="R23" s="6">
        <f t="shared" si="4"/>
        <v>0</v>
      </c>
      <c r="S23" s="2"/>
      <c r="T23" s="7">
        <v>217.263641538461</v>
      </c>
      <c r="U23" s="2"/>
      <c r="V23" s="6">
        <f t="shared" si="5"/>
        <v>0</v>
      </c>
      <c r="W23" s="2"/>
      <c r="X23" s="7">
        <f t="shared" si="6"/>
        <v>37.236358461538998</v>
      </c>
      <c r="Y23" s="2"/>
      <c r="Z23" s="6">
        <f t="shared" si="7"/>
        <v>0.17138789628059903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2921.87</v>
      </c>
      <c r="E24" s="2"/>
      <c r="F24" s="6">
        <f t="shared" si="0"/>
        <v>0</v>
      </c>
      <c r="G24" s="2"/>
      <c r="H24" s="7">
        <v>2351.11761538462</v>
      </c>
      <c r="I24" s="2"/>
      <c r="J24" s="6">
        <f t="shared" si="1"/>
        <v>0</v>
      </c>
      <c r="K24" s="2"/>
      <c r="L24" s="7">
        <f t="shared" si="2"/>
        <v>570.75238461537992</v>
      </c>
      <c r="M24" s="2"/>
      <c r="N24" s="6">
        <f t="shared" si="3"/>
        <v>0.24275790410511233</v>
      </c>
      <c r="O24" s="11"/>
      <c r="P24" s="7">
        <v>8765.6</v>
      </c>
      <c r="Q24" s="2"/>
      <c r="R24" s="6">
        <f t="shared" si="4"/>
        <v>0</v>
      </c>
      <c r="S24" s="2"/>
      <c r="T24" s="7">
        <v>8464.0234153846195</v>
      </c>
      <c r="U24" s="2"/>
      <c r="V24" s="6">
        <f t="shared" si="5"/>
        <v>0</v>
      </c>
      <c r="W24" s="2"/>
      <c r="X24" s="7">
        <f t="shared" si="6"/>
        <v>301.57658461538085</v>
      </c>
      <c r="Y24" s="2"/>
      <c r="Z24" s="6">
        <f t="shared" si="7"/>
        <v>3.5630405283050212E-2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7">
        <v>1746.51</v>
      </c>
      <c r="E26" s="2"/>
      <c r="F26" s="6">
        <f t="shared" si="0"/>
        <v>0</v>
      </c>
      <c r="G26" s="2"/>
      <c r="H26" s="7">
        <v>1366.9288461538499</v>
      </c>
      <c r="I26" s="2"/>
      <c r="J26" s="6">
        <f t="shared" si="1"/>
        <v>0</v>
      </c>
      <c r="K26" s="2"/>
      <c r="L26" s="7">
        <f t="shared" si="2"/>
        <v>379.58115384615007</v>
      </c>
      <c r="M26" s="2"/>
      <c r="N26" s="6">
        <f t="shared" si="3"/>
        <v>0.27768903620271368</v>
      </c>
      <c r="O26" s="11"/>
      <c r="P26" s="7">
        <v>5506.58</v>
      </c>
      <c r="Q26" s="2"/>
      <c r="R26" s="6">
        <f t="shared" si="4"/>
        <v>0</v>
      </c>
      <c r="S26" s="2"/>
      <c r="T26" s="7">
        <v>4920.9438461538602</v>
      </c>
      <c r="U26" s="2"/>
      <c r="V26" s="6">
        <f t="shared" si="5"/>
        <v>0</v>
      </c>
      <c r="W26" s="2"/>
      <c r="X26" s="7">
        <f t="shared" si="6"/>
        <v>585.63615384613968</v>
      </c>
      <c r="Y26" s="2"/>
      <c r="Z26" s="6">
        <f t="shared" si="7"/>
        <v>0.11900890807845015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7">
        <v>1469.13</v>
      </c>
      <c r="E27" s="2"/>
      <c r="F27" s="6">
        <f t="shared" si="0"/>
        <v>0</v>
      </c>
      <c r="G27" s="2"/>
      <c r="H27" s="7">
        <v>1450.9288461538499</v>
      </c>
      <c r="I27" s="2"/>
      <c r="J27" s="6">
        <f t="shared" si="1"/>
        <v>0</v>
      </c>
      <c r="K27" s="2"/>
      <c r="L27" s="7">
        <f t="shared" si="2"/>
        <v>18.201153846150191</v>
      </c>
      <c r="M27" s="2"/>
      <c r="N27" s="6">
        <f t="shared" si="3"/>
        <v>1.2544484103681693E-2</v>
      </c>
      <c r="O27" s="11"/>
      <c r="P27" s="7">
        <v>4407.3900000000003</v>
      </c>
      <c r="Q27" s="2"/>
      <c r="R27" s="6">
        <f t="shared" si="4"/>
        <v>0</v>
      </c>
      <c r="S27" s="2"/>
      <c r="T27" s="7">
        <v>5072.1438461538601</v>
      </c>
      <c r="U27" s="2"/>
      <c r="V27" s="6">
        <f t="shared" si="5"/>
        <v>0</v>
      </c>
      <c r="W27" s="2"/>
      <c r="X27" s="7">
        <f t="shared" si="6"/>
        <v>-664.75384615385974</v>
      </c>
      <c r="Y27" s="2"/>
      <c r="Z27" s="6">
        <f t="shared" si="7"/>
        <v>-0.13105973850838909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7">
        <v>716.06</v>
      </c>
      <c r="E28" s="2"/>
      <c r="F28" s="6">
        <f t="shared" si="0"/>
        <v>0</v>
      </c>
      <c r="G28" s="2"/>
      <c r="H28" s="7">
        <v>700</v>
      </c>
      <c r="I28" s="2"/>
      <c r="J28" s="6">
        <f t="shared" si="1"/>
        <v>0</v>
      </c>
      <c r="K28" s="2"/>
      <c r="L28" s="7">
        <f t="shared" si="2"/>
        <v>16.059999999999945</v>
      </c>
      <c r="M28" s="2"/>
      <c r="N28" s="6">
        <f t="shared" si="3"/>
        <v>2.2942857142857064E-2</v>
      </c>
      <c r="O28" s="11"/>
      <c r="P28" s="7">
        <v>2085.29</v>
      </c>
      <c r="Q28" s="2"/>
      <c r="R28" s="6">
        <f t="shared" si="4"/>
        <v>0</v>
      </c>
      <c r="S28" s="2"/>
      <c r="T28" s="7">
        <v>2800</v>
      </c>
      <c r="U28" s="2"/>
      <c r="V28" s="6">
        <f t="shared" si="5"/>
        <v>0</v>
      </c>
      <c r="W28" s="2"/>
      <c r="X28" s="7">
        <f t="shared" si="6"/>
        <v>-714.71</v>
      </c>
      <c r="Y28" s="2"/>
      <c r="Z28" s="6">
        <f t="shared" si="7"/>
        <v>-0.25525357142857147</v>
      </c>
    </row>
    <row r="29" spans="1:26" s="28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26688.199999999997</v>
      </c>
      <c r="E29" s="1"/>
      <c r="F29" s="5">
        <f t="shared" ref="F29:F39" si="8">IF(D$12=0,0,D29/D$12)</f>
        <v>0</v>
      </c>
      <c r="G29" s="1"/>
      <c r="H29" s="1">
        <f>SUM(OSRRefH22_1x_0)</f>
        <v>27404.719230769188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-716.51923076919047</v>
      </c>
      <c r="M29" s="1"/>
      <c r="N29" s="5">
        <f t="shared" ref="N29:N39" si="11">IF(H29=0,0,L29/H29)</f>
        <v>-2.6145833669578501E-2</v>
      </c>
      <c r="O29" s="14"/>
      <c r="P29" s="1">
        <f>SUM(OSRRefP22_1x_0)</f>
        <v>95214.94</v>
      </c>
      <c r="Q29" s="1"/>
      <c r="R29" s="5">
        <f t="shared" ref="R29:R39" si="12">IF(P$12=0,0,P29/P$12)</f>
        <v>0</v>
      </c>
      <c r="S29" s="1"/>
      <c r="T29" s="1">
        <f>SUM(OSRRefT22_1x_0)</f>
        <v>93616.989230769104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1597.950769230898</v>
      </c>
      <c r="Y29" s="1"/>
      <c r="Z29" s="5">
        <f t="shared" ref="Z29:Z39" si="15">IF(T29=0,0,X29/T29)</f>
        <v>1.706902542327968E-2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6977.4576923076902</v>
      </c>
      <c r="I30" s="2"/>
      <c r="J30" s="6">
        <f t="shared" si="9"/>
        <v>0</v>
      </c>
      <c r="K30" s="2"/>
      <c r="L30" s="7">
        <f t="shared" si="10"/>
        <v>-6977.4576923076902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25118.8476923077</v>
      </c>
      <c r="U30" s="2"/>
      <c r="V30" s="6">
        <f t="shared" si="13"/>
        <v>0</v>
      </c>
      <c r="W30" s="2"/>
      <c r="X30" s="7">
        <f t="shared" si="14"/>
        <v>-25118.8476923077</v>
      </c>
      <c r="Y30" s="2"/>
      <c r="Z30" s="6">
        <f t="shared" si="15"/>
        <v>-1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7">
        <v>25747.279999999999</v>
      </c>
      <c r="E31" s="2"/>
      <c r="F31" s="6">
        <f t="shared" si="8"/>
        <v>0</v>
      </c>
      <c r="G31" s="2"/>
      <c r="H31" s="7">
        <v>17627.261538461498</v>
      </c>
      <c r="I31" s="2"/>
      <c r="J31" s="6">
        <f t="shared" si="9"/>
        <v>0</v>
      </c>
      <c r="K31" s="2"/>
      <c r="L31" s="7">
        <f t="shared" si="10"/>
        <v>8120.0184615385006</v>
      </c>
      <c r="M31" s="2"/>
      <c r="N31" s="6">
        <f t="shared" si="11"/>
        <v>0.46065115921841671</v>
      </c>
      <c r="O31" s="11"/>
      <c r="P31" s="7">
        <v>93184.06</v>
      </c>
      <c r="Q31" s="2"/>
      <c r="R31" s="6">
        <f t="shared" si="12"/>
        <v>0</v>
      </c>
      <c r="S31" s="2"/>
      <c r="T31" s="7">
        <v>63458.141538461401</v>
      </c>
      <c r="U31" s="2"/>
      <c r="V31" s="6">
        <f t="shared" si="13"/>
        <v>0</v>
      </c>
      <c r="W31" s="2"/>
      <c r="X31" s="7">
        <f t="shared" si="14"/>
        <v>29725.918461538597</v>
      </c>
      <c r="Y31" s="2"/>
      <c r="Z31" s="6">
        <f t="shared" si="15"/>
        <v>0.4684334860881797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>
        <v>940.92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940.92</v>
      </c>
      <c r="M36" s="2"/>
      <c r="N36" s="6">
        <f t="shared" si="11"/>
        <v>0</v>
      </c>
      <c r="O36" s="11"/>
      <c r="P36" s="7">
        <v>2030.88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2030.88</v>
      </c>
      <c r="Y36" s="2"/>
      <c r="Z36" s="6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2800</v>
      </c>
      <c r="I37" s="2"/>
      <c r="J37" s="6">
        <f t="shared" si="9"/>
        <v>0</v>
      </c>
      <c r="K37" s="2"/>
      <c r="L37" s="7">
        <f t="shared" si="10"/>
        <v>-2800</v>
      </c>
      <c r="M37" s="2"/>
      <c r="N37" s="6">
        <f t="shared" si="11"/>
        <v>-1</v>
      </c>
      <c r="O37" s="11"/>
      <c r="P37" s="7"/>
      <c r="Q37" s="2"/>
      <c r="R37" s="6">
        <f t="shared" si="12"/>
        <v>0</v>
      </c>
      <c r="S37" s="2"/>
      <c r="T37" s="7">
        <v>5040</v>
      </c>
      <c r="U37" s="2"/>
      <c r="V37" s="6">
        <f t="shared" si="13"/>
        <v>0</v>
      </c>
      <c r="W37" s="2"/>
      <c r="X37" s="7">
        <f t="shared" si="14"/>
        <v>-5040</v>
      </c>
      <c r="Y37" s="2"/>
      <c r="Z37" s="6">
        <f t="shared" si="15"/>
        <v>-1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9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SUM(OSRRefD22_2x_0)</f>
        <v>1558.88</v>
      </c>
      <c r="E40" s="1"/>
      <c r="F40" s="5">
        <f t="shared" ref="F40:F51" si="16">IF(D$12=0,0,D40/D$12)</f>
        <v>0</v>
      </c>
      <c r="G40" s="1"/>
      <c r="H40" s="1">
        <f>SUM(OSRRefH22_2x_0)</f>
        <v>1559</v>
      </c>
      <c r="I40" s="1"/>
      <c r="J40" s="5">
        <f t="shared" ref="J40:J51" si="17">IF(H$12=0,0,H40/H$12)</f>
        <v>0</v>
      </c>
      <c r="K40" s="1"/>
      <c r="L40" s="1">
        <f t="shared" ref="L40:L51" si="18">+D40-H40</f>
        <v>-0.11999999999989086</v>
      </c>
      <c r="M40" s="1"/>
      <c r="N40" s="5">
        <f t="shared" ref="N40:N51" si="19">IF(H40=0,0,L40/H40)</f>
        <v>-7.6972418216735637E-5</v>
      </c>
      <c r="O40" s="14"/>
      <c r="P40" s="1">
        <f>SUM(OSRRefP22_2x_0)</f>
        <v>6235.52</v>
      </c>
      <c r="Q40" s="1"/>
      <c r="R40" s="5">
        <f t="shared" ref="R40:R51" si="20">IF(P$12=0,0,P40/P$12)</f>
        <v>0</v>
      </c>
      <c r="S40" s="1"/>
      <c r="T40" s="1">
        <f>SUM(OSRRefT22_2x_0)</f>
        <v>6236</v>
      </c>
      <c r="U40" s="1"/>
      <c r="V40" s="5">
        <f t="shared" ref="V40:V51" si="21">IF(T$12=0,0,T40/T$12)</f>
        <v>0</v>
      </c>
      <c r="W40" s="1"/>
      <c r="X40" s="1">
        <f t="shared" ref="X40:X51" si="22">+P40-T40</f>
        <v>-0.47999999999956344</v>
      </c>
      <c r="Y40" s="1"/>
      <c r="Z40" s="5">
        <f t="shared" ref="Z40:Z51" si="23">IF(T40=0,0,X40/T40)</f>
        <v>-7.6972418216735637E-5</v>
      </c>
    </row>
    <row r="41" spans="1:26" s="24" customFormat="1" hidden="1" outlineLevel="2" x14ac:dyDescent="0.25">
      <c r="A41" s="27"/>
      <c r="B41" s="11" t="str">
        <f>CONCATENATE("          ", "6322", " - ", "EQUIPMENT DEPRECIATION EXPENSE")</f>
        <v xml:space="preserve">          6322 - EQUIPMENT DEPRECIATION EXPENSE</v>
      </c>
      <c r="C41" s="11"/>
      <c r="D41" s="7">
        <v>1558.88</v>
      </c>
      <c r="E41" s="2"/>
      <c r="F41" s="6">
        <f t="shared" si="16"/>
        <v>0</v>
      </c>
      <c r="G41" s="2"/>
      <c r="H41" s="7">
        <v>1559</v>
      </c>
      <c r="I41" s="2"/>
      <c r="J41" s="6">
        <f t="shared" si="17"/>
        <v>0</v>
      </c>
      <c r="K41" s="2"/>
      <c r="L41" s="7">
        <f t="shared" si="18"/>
        <v>-0.11999999999989086</v>
      </c>
      <c r="M41" s="2"/>
      <c r="N41" s="6">
        <f t="shared" si="19"/>
        <v>-7.6972418216735637E-5</v>
      </c>
      <c r="O41" s="11"/>
      <c r="P41" s="7">
        <v>6235.52</v>
      </c>
      <c r="Q41" s="2"/>
      <c r="R41" s="6">
        <f t="shared" si="20"/>
        <v>0</v>
      </c>
      <c r="S41" s="2"/>
      <c r="T41" s="7">
        <v>6236</v>
      </c>
      <c r="U41" s="2"/>
      <c r="V41" s="6">
        <f t="shared" si="21"/>
        <v>0</v>
      </c>
      <c r="W41" s="2"/>
      <c r="X41" s="7">
        <f t="shared" si="22"/>
        <v>-0.47999999999956344</v>
      </c>
      <c r="Y41" s="2"/>
      <c r="Z41" s="6">
        <f t="shared" si="23"/>
        <v>-7.6972418216735637E-5</v>
      </c>
    </row>
    <row r="42" spans="1:26" s="28" customFormat="1" outlineLevel="1" collapsed="1" x14ac:dyDescent="0.25">
      <c r="A42" s="29"/>
      <c r="B42" s="14" t="str">
        <f>CONCATENATE("     ","Equipment Rental                                  ")</f>
        <v xml:space="preserve">     Equipment Rental                                  </v>
      </c>
      <c r="C42" s="14"/>
      <c r="D42" s="1">
        <f>SUM(OSRRefD22_3x_0)</f>
        <v>91.26</v>
      </c>
      <c r="E42" s="1"/>
      <c r="F42" s="5">
        <f t="shared" si="16"/>
        <v>0</v>
      </c>
      <c r="G42" s="1"/>
      <c r="H42" s="1">
        <f>SUM(OSRRefH22_3x_0)</f>
        <v>91</v>
      </c>
      <c r="I42" s="1"/>
      <c r="J42" s="5">
        <f t="shared" si="17"/>
        <v>0</v>
      </c>
      <c r="K42" s="1"/>
      <c r="L42" s="1">
        <f t="shared" si="18"/>
        <v>0.26000000000000512</v>
      </c>
      <c r="M42" s="1"/>
      <c r="N42" s="5">
        <f t="shared" si="19"/>
        <v>2.8571428571429135E-3</v>
      </c>
      <c r="O42" s="14"/>
      <c r="P42" s="1">
        <f>SUM(OSRRefP22_3x_0)</f>
        <v>365.04</v>
      </c>
      <c r="Q42" s="1"/>
      <c r="R42" s="5">
        <f t="shared" si="20"/>
        <v>0</v>
      </c>
      <c r="S42" s="1"/>
      <c r="T42" s="1">
        <f>SUM(OSRRefT22_3x_0)</f>
        <v>364</v>
      </c>
      <c r="U42" s="1"/>
      <c r="V42" s="5">
        <f t="shared" si="21"/>
        <v>0</v>
      </c>
      <c r="W42" s="1"/>
      <c r="X42" s="1">
        <f t="shared" si="22"/>
        <v>1.0400000000000205</v>
      </c>
      <c r="Y42" s="1"/>
      <c r="Z42" s="5">
        <f t="shared" si="23"/>
        <v>2.8571428571429135E-3</v>
      </c>
    </row>
    <row r="43" spans="1:26" s="24" customFormat="1" hidden="1" outlineLevel="2" x14ac:dyDescent="0.25">
      <c r="A43" s="27"/>
      <c r="B43" s="11" t="str">
        <f>CONCATENATE("          ", "6351", " - ", "EQUIPMENT RENTAL")</f>
        <v xml:space="preserve">          6351 - EQUIPMENT RENTAL</v>
      </c>
      <c r="C43" s="11"/>
      <c r="D43" s="7">
        <v>91.26</v>
      </c>
      <c r="E43" s="2"/>
      <c r="F43" s="6">
        <f t="shared" si="16"/>
        <v>0</v>
      </c>
      <c r="G43" s="2"/>
      <c r="H43" s="7">
        <v>91</v>
      </c>
      <c r="I43" s="2"/>
      <c r="J43" s="6">
        <f t="shared" si="17"/>
        <v>0</v>
      </c>
      <c r="K43" s="2"/>
      <c r="L43" s="7">
        <f t="shared" si="18"/>
        <v>0.26000000000000512</v>
      </c>
      <c r="M43" s="2"/>
      <c r="N43" s="6">
        <f t="shared" si="19"/>
        <v>2.8571428571429135E-3</v>
      </c>
      <c r="O43" s="11"/>
      <c r="P43" s="7">
        <v>365.04</v>
      </c>
      <c r="Q43" s="2"/>
      <c r="R43" s="6">
        <f t="shared" si="20"/>
        <v>0</v>
      </c>
      <c r="S43" s="2"/>
      <c r="T43" s="7">
        <v>364</v>
      </c>
      <c r="U43" s="2"/>
      <c r="V43" s="6">
        <f t="shared" si="21"/>
        <v>0</v>
      </c>
      <c r="W43" s="2"/>
      <c r="X43" s="7">
        <f t="shared" si="22"/>
        <v>1.0400000000000205</v>
      </c>
      <c r="Y43" s="2"/>
      <c r="Z43" s="6">
        <f t="shared" si="23"/>
        <v>2.8571428571429135E-3</v>
      </c>
    </row>
    <row r="44" spans="1:26" s="28" customFormat="1" outlineLevel="1" collapsed="1" x14ac:dyDescent="0.25">
      <c r="A44" s="29"/>
      <c r="B44" s="14" t="str">
        <f>CONCATENATE("     ","Freight out/Postage                               ")</f>
        <v xml:space="preserve">     Freight out/Postage                               </v>
      </c>
      <c r="C44" s="14"/>
      <c r="D44" s="1">
        <f>SUM(OSRRefD22_4x_0)</f>
        <v>172.98</v>
      </c>
      <c r="E44" s="1"/>
      <c r="F44" s="5">
        <f t="shared" si="16"/>
        <v>0</v>
      </c>
      <c r="G44" s="1"/>
      <c r="H44" s="1">
        <f>SUM(OSRRefH22_4x_0)</f>
        <v>100</v>
      </c>
      <c r="I44" s="1"/>
      <c r="J44" s="5">
        <f t="shared" si="17"/>
        <v>0</v>
      </c>
      <c r="K44" s="1"/>
      <c r="L44" s="1">
        <f t="shared" si="18"/>
        <v>72.97999999999999</v>
      </c>
      <c r="M44" s="1"/>
      <c r="N44" s="5">
        <f t="shared" si="19"/>
        <v>0.72979999999999989</v>
      </c>
      <c r="O44" s="14"/>
      <c r="P44" s="1">
        <f>SUM(OSRRefP22_4x_0)</f>
        <v>539.33000000000004</v>
      </c>
      <c r="Q44" s="1"/>
      <c r="R44" s="5">
        <f t="shared" si="20"/>
        <v>0</v>
      </c>
      <c r="S44" s="1"/>
      <c r="T44" s="1">
        <f>SUM(OSRRefT22_4x_0)</f>
        <v>400</v>
      </c>
      <c r="U44" s="1"/>
      <c r="V44" s="5">
        <f t="shared" si="21"/>
        <v>0</v>
      </c>
      <c r="W44" s="1"/>
      <c r="X44" s="1">
        <f t="shared" si="22"/>
        <v>139.33000000000004</v>
      </c>
      <c r="Y44" s="1"/>
      <c r="Z44" s="5">
        <f t="shared" si="23"/>
        <v>0.34832500000000011</v>
      </c>
    </row>
    <row r="45" spans="1:26" s="24" customFormat="1" hidden="1" outlineLevel="2" x14ac:dyDescent="0.25">
      <c r="A45" s="27"/>
      <c r="B45" s="11" t="str">
        <f>CONCATENATE("          ", "6307", " - ", "POSTAGE")</f>
        <v xml:space="preserve">          6307 - POSTAGE</v>
      </c>
      <c r="C45" s="11"/>
      <c r="D45" s="7">
        <v>172.98</v>
      </c>
      <c r="E45" s="2"/>
      <c r="F45" s="6">
        <f t="shared" si="16"/>
        <v>0</v>
      </c>
      <c r="G45" s="2"/>
      <c r="H45" s="7">
        <v>100</v>
      </c>
      <c r="I45" s="2"/>
      <c r="J45" s="6">
        <f t="shared" si="17"/>
        <v>0</v>
      </c>
      <c r="K45" s="2"/>
      <c r="L45" s="7">
        <f t="shared" si="18"/>
        <v>72.97999999999999</v>
      </c>
      <c r="M45" s="2"/>
      <c r="N45" s="6">
        <f t="shared" si="19"/>
        <v>0.72979999999999989</v>
      </c>
      <c r="O45" s="11"/>
      <c r="P45" s="7">
        <v>539.33000000000004</v>
      </c>
      <c r="Q45" s="2"/>
      <c r="R45" s="6">
        <f t="shared" si="20"/>
        <v>0</v>
      </c>
      <c r="S45" s="2"/>
      <c r="T45" s="7">
        <v>400</v>
      </c>
      <c r="U45" s="2"/>
      <c r="V45" s="6">
        <f t="shared" si="21"/>
        <v>0</v>
      </c>
      <c r="W45" s="2"/>
      <c r="X45" s="7">
        <f t="shared" si="22"/>
        <v>139.33000000000004</v>
      </c>
      <c r="Y45" s="2"/>
      <c r="Z45" s="6">
        <f t="shared" si="23"/>
        <v>0.34832500000000011</v>
      </c>
    </row>
    <row r="46" spans="1:26" s="28" customFormat="1" outlineLevel="1" collapsed="1" x14ac:dyDescent="0.25">
      <c r="A46" s="29"/>
      <c r="B46" s="14" t="str">
        <f>CONCATENATE("     ","Insurance                                         ")</f>
        <v xml:space="preserve">     Insurance                                         </v>
      </c>
      <c r="C46" s="14"/>
      <c r="D46" s="1">
        <f>SUM(OSRRefD22_5x_0)</f>
        <v>179.64</v>
      </c>
      <c r="E46" s="1"/>
      <c r="F46" s="5">
        <f t="shared" si="16"/>
        <v>0</v>
      </c>
      <c r="G46" s="1"/>
      <c r="H46" s="1">
        <f>SUM(OSRRefH22_5x_0)</f>
        <v>180</v>
      </c>
      <c r="I46" s="1"/>
      <c r="J46" s="5">
        <f t="shared" si="17"/>
        <v>0</v>
      </c>
      <c r="K46" s="1"/>
      <c r="L46" s="1">
        <f t="shared" si="18"/>
        <v>-0.36000000000001364</v>
      </c>
      <c r="M46" s="1"/>
      <c r="N46" s="5">
        <f t="shared" si="19"/>
        <v>-2.0000000000000759E-3</v>
      </c>
      <c r="O46" s="14"/>
      <c r="P46" s="1">
        <f>SUM(OSRRefP22_5x_0)</f>
        <v>718.56</v>
      </c>
      <c r="Q46" s="1"/>
      <c r="R46" s="5">
        <f t="shared" si="20"/>
        <v>0</v>
      </c>
      <c r="S46" s="1"/>
      <c r="T46" s="1">
        <f>SUM(OSRRefT22_5x_0)</f>
        <v>720</v>
      </c>
      <c r="U46" s="1"/>
      <c r="V46" s="5">
        <f t="shared" si="21"/>
        <v>0</v>
      </c>
      <c r="W46" s="1"/>
      <c r="X46" s="1">
        <f t="shared" si="22"/>
        <v>-1.4400000000000546</v>
      </c>
      <c r="Y46" s="1"/>
      <c r="Z46" s="5">
        <f t="shared" si="23"/>
        <v>-2.0000000000000759E-3</v>
      </c>
    </row>
    <row r="47" spans="1:26" s="24" customFormat="1" hidden="1" outlineLevel="2" x14ac:dyDescent="0.25">
      <c r="A47" s="27"/>
      <c r="B47" s="11" t="str">
        <f>CONCATENATE("          ", "6314", " - ", "LIABILITY INSURANCE")</f>
        <v xml:space="preserve">          6314 - LIABILITY INSURANCE</v>
      </c>
      <c r="C47" s="11"/>
      <c r="D47" s="7">
        <v>179.64</v>
      </c>
      <c r="E47" s="2"/>
      <c r="F47" s="6">
        <f t="shared" si="16"/>
        <v>0</v>
      </c>
      <c r="G47" s="2"/>
      <c r="H47" s="7">
        <v>180</v>
      </c>
      <c r="I47" s="2"/>
      <c r="J47" s="6">
        <f t="shared" si="17"/>
        <v>0</v>
      </c>
      <c r="K47" s="2"/>
      <c r="L47" s="7">
        <f t="shared" si="18"/>
        <v>-0.36000000000001364</v>
      </c>
      <c r="M47" s="2"/>
      <c r="N47" s="6">
        <f t="shared" si="19"/>
        <v>-2.0000000000000759E-3</v>
      </c>
      <c r="O47" s="11"/>
      <c r="P47" s="7">
        <v>718.56</v>
      </c>
      <c r="Q47" s="2"/>
      <c r="R47" s="6">
        <f t="shared" si="20"/>
        <v>0</v>
      </c>
      <c r="S47" s="2"/>
      <c r="T47" s="7">
        <v>720</v>
      </c>
      <c r="U47" s="2"/>
      <c r="V47" s="6">
        <f t="shared" si="21"/>
        <v>0</v>
      </c>
      <c r="W47" s="2"/>
      <c r="X47" s="7">
        <f t="shared" si="22"/>
        <v>-1.4400000000000546</v>
      </c>
      <c r="Y47" s="2"/>
      <c r="Z47" s="6">
        <f t="shared" si="23"/>
        <v>-2.0000000000000759E-3</v>
      </c>
    </row>
    <row r="48" spans="1:26" s="28" customFormat="1" outlineLevel="1" collapsed="1" x14ac:dyDescent="0.25">
      <c r="A48" s="29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SUM(OSRRefD22_6x_0)</f>
        <v>152.89000000000001</v>
      </c>
      <c r="E48" s="1"/>
      <c r="F48" s="5">
        <f t="shared" si="16"/>
        <v>0</v>
      </c>
      <c r="G48" s="1"/>
      <c r="H48" s="1">
        <f>SUM(OSRRefH22_6x_0)</f>
        <v>210</v>
      </c>
      <c r="I48" s="1"/>
      <c r="J48" s="5">
        <f t="shared" si="17"/>
        <v>0</v>
      </c>
      <c r="K48" s="1"/>
      <c r="L48" s="1">
        <f t="shared" si="18"/>
        <v>-57.109999999999985</v>
      </c>
      <c r="M48" s="1"/>
      <c r="N48" s="5">
        <f t="shared" si="19"/>
        <v>-0.27195238095238089</v>
      </c>
      <c r="O48" s="14"/>
      <c r="P48" s="1">
        <f>SUM(OSRRefP22_6x_0)</f>
        <v>1830.35</v>
      </c>
      <c r="Q48" s="1"/>
      <c r="R48" s="5">
        <f t="shared" si="20"/>
        <v>0</v>
      </c>
      <c r="S48" s="1"/>
      <c r="T48" s="1">
        <f>SUM(OSRRefT22_6x_0)</f>
        <v>840</v>
      </c>
      <c r="U48" s="1"/>
      <c r="V48" s="5">
        <f t="shared" si="21"/>
        <v>0</v>
      </c>
      <c r="W48" s="1"/>
      <c r="X48" s="1">
        <f t="shared" si="22"/>
        <v>990.34999999999991</v>
      </c>
      <c r="Y48" s="1"/>
      <c r="Z48" s="5">
        <f t="shared" si="23"/>
        <v>1.1789880952380951</v>
      </c>
    </row>
    <row r="49" spans="1:26" s="24" customFormat="1" hidden="1" outlineLevel="2" x14ac:dyDescent="0.25">
      <c r="A49" s="27"/>
      <c r="B49" s="11" t="str">
        <f>CONCATENATE("          ", "6371", " - ", "COMPUTER SOFTWARE MAINTENANCE")</f>
        <v xml:space="preserve">          6371 - COMPUTER SOFTWARE MAINTENANCE</v>
      </c>
      <c r="C49" s="11"/>
      <c r="D49" s="7">
        <v>119.9</v>
      </c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119.9</v>
      </c>
      <c r="M49" s="2"/>
      <c r="N49" s="6">
        <f t="shared" si="19"/>
        <v>0</v>
      </c>
      <c r="O49" s="11"/>
      <c r="P49" s="7">
        <v>239.8</v>
      </c>
      <c r="Q49" s="2"/>
      <c r="R49" s="6">
        <f t="shared" si="20"/>
        <v>0</v>
      </c>
      <c r="S49" s="2"/>
      <c r="T49" s="7"/>
      <c r="U49" s="2"/>
      <c r="V49" s="6">
        <f t="shared" si="21"/>
        <v>0</v>
      </c>
      <c r="W49" s="2"/>
      <c r="X49" s="7">
        <f t="shared" si="22"/>
        <v>239.8</v>
      </c>
      <c r="Y49" s="2"/>
      <c r="Z49" s="6">
        <f t="shared" si="23"/>
        <v>0</v>
      </c>
    </row>
    <row r="50" spans="1:26" s="24" customFormat="1" hidden="1" outlineLevel="2" x14ac:dyDescent="0.25">
      <c r="A50" s="27"/>
      <c r="B50" s="11" t="str">
        <f>CONCATENATE("          ", "6373", " - ", "MAINTENANCE CONTRACTS")</f>
        <v xml:space="preserve">          6373 - MAINTENANCE CONTRACTS</v>
      </c>
      <c r="C50" s="11"/>
      <c r="D50" s="7">
        <v>32.99</v>
      </c>
      <c r="E50" s="2"/>
      <c r="F50" s="6">
        <f t="shared" si="16"/>
        <v>0</v>
      </c>
      <c r="G50" s="2"/>
      <c r="H50" s="7">
        <v>60</v>
      </c>
      <c r="I50" s="2"/>
      <c r="J50" s="6">
        <f t="shared" si="17"/>
        <v>0</v>
      </c>
      <c r="K50" s="2"/>
      <c r="L50" s="7">
        <f t="shared" si="18"/>
        <v>-27.009999999999998</v>
      </c>
      <c r="M50" s="2"/>
      <c r="N50" s="6">
        <f t="shared" si="19"/>
        <v>-0.45016666666666666</v>
      </c>
      <c r="O50" s="11"/>
      <c r="P50" s="7">
        <v>32.99</v>
      </c>
      <c r="Q50" s="2"/>
      <c r="R50" s="6">
        <f t="shared" si="20"/>
        <v>0</v>
      </c>
      <c r="S50" s="2"/>
      <c r="T50" s="7">
        <v>240</v>
      </c>
      <c r="U50" s="2"/>
      <c r="V50" s="6">
        <f t="shared" si="21"/>
        <v>0</v>
      </c>
      <c r="W50" s="2"/>
      <c r="X50" s="7">
        <f t="shared" si="22"/>
        <v>-207.01</v>
      </c>
      <c r="Y50" s="2"/>
      <c r="Z50" s="6">
        <f t="shared" si="23"/>
        <v>-0.86254166666666665</v>
      </c>
    </row>
    <row r="51" spans="1:26" s="24" customFormat="1" hidden="1" outlineLevel="2" x14ac:dyDescent="0.25">
      <c r="A51" s="27"/>
      <c r="B51" s="11" t="str">
        <f>CONCATENATE("          ", "6375", " - ", "OUTSIDE REPAIRS &amp; MAINTENANCE")</f>
        <v xml:space="preserve">          6375 - OUTSIDE REPAIRS &amp; MAINTENANCE</v>
      </c>
      <c r="C51" s="11"/>
      <c r="D51" s="7"/>
      <c r="E51" s="2"/>
      <c r="F51" s="6">
        <f t="shared" si="16"/>
        <v>0</v>
      </c>
      <c r="G51" s="2"/>
      <c r="H51" s="7">
        <v>150</v>
      </c>
      <c r="I51" s="2"/>
      <c r="J51" s="6">
        <f t="shared" si="17"/>
        <v>0</v>
      </c>
      <c r="K51" s="2"/>
      <c r="L51" s="7">
        <f t="shared" si="18"/>
        <v>-150</v>
      </c>
      <c r="M51" s="2"/>
      <c r="N51" s="6">
        <f t="shared" si="19"/>
        <v>-1</v>
      </c>
      <c r="O51" s="11"/>
      <c r="P51" s="7">
        <v>1557.56</v>
      </c>
      <c r="Q51" s="2"/>
      <c r="R51" s="6">
        <f t="shared" si="20"/>
        <v>0</v>
      </c>
      <c r="S51" s="2"/>
      <c r="T51" s="7">
        <v>600</v>
      </c>
      <c r="U51" s="2"/>
      <c r="V51" s="6">
        <f t="shared" si="21"/>
        <v>0</v>
      </c>
      <c r="W51" s="2"/>
      <c r="X51" s="7">
        <f t="shared" si="22"/>
        <v>957.56</v>
      </c>
      <c r="Y51" s="2"/>
      <c r="Z51" s="6">
        <f t="shared" si="23"/>
        <v>1.5959333333333332</v>
      </c>
    </row>
    <row r="52" spans="1:26" s="28" customFormat="1" outlineLevel="1" collapsed="1" x14ac:dyDescent="0.25">
      <c r="A52" s="29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SUM(OSRRefD22_7x_0)</f>
        <v>657.38</v>
      </c>
      <c r="E52" s="1"/>
      <c r="F52" s="5">
        <f t="shared" ref="F52:F61" si="24">IF(D$12=0,0,D52/D$12)</f>
        <v>0</v>
      </c>
      <c r="G52" s="1"/>
      <c r="H52" s="1">
        <f>SUM(OSRRefH22_7x_0)</f>
        <v>625</v>
      </c>
      <c r="I52" s="1"/>
      <c r="J52" s="5">
        <f t="shared" ref="J52:J61" si="25">IF(H$12=0,0,H52/H$12)</f>
        <v>0</v>
      </c>
      <c r="K52" s="1"/>
      <c r="L52" s="1">
        <f t="shared" ref="L52:L61" si="26">+D52-H52</f>
        <v>32.379999999999995</v>
      </c>
      <c r="M52" s="1"/>
      <c r="N52" s="5">
        <f t="shared" ref="N52:N61" si="27">IF(H52=0,0,L52/H52)</f>
        <v>5.1807999999999993E-2</v>
      </c>
      <c r="O52" s="14"/>
      <c r="P52" s="1">
        <f>SUM(OSRRefP22_7x_0)</f>
        <v>2682.65</v>
      </c>
      <c r="Q52" s="1"/>
      <c r="R52" s="5">
        <f t="shared" ref="R52:R61" si="28">IF(P$12=0,0,P52/P$12)</f>
        <v>0</v>
      </c>
      <c r="S52" s="1"/>
      <c r="T52" s="1">
        <f>SUM(OSRRefT22_7x_0)</f>
        <v>2500</v>
      </c>
      <c r="U52" s="1"/>
      <c r="V52" s="5">
        <f t="shared" ref="V52:V61" si="29">IF(T$12=0,0,T52/T$12)</f>
        <v>0</v>
      </c>
      <c r="W52" s="1"/>
      <c r="X52" s="1">
        <f t="shared" ref="X52:X61" si="30">+P52-T52</f>
        <v>182.65000000000009</v>
      </c>
      <c r="Y52" s="1"/>
      <c r="Z52" s="5">
        <f t="shared" ref="Z52:Z61" si="31">IF(T52=0,0,X52/T52)</f>
        <v>7.3060000000000042E-2</v>
      </c>
    </row>
    <row r="53" spans="1:26" s="24" customFormat="1" hidden="1" outlineLevel="2" x14ac:dyDescent="0.25">
      <c r="A53" s="27"/>
      <c r="B53" s="11" t="str">
        <f>CONCATENATE("          ", "6281", " - ", "STORAGE FEE")</f>
        <v xml:space="preserve">          6281 - STORAGE FEE</v>
      </c>
      <c r="C53" s="11"/>
      <c r="D53" s="7">
        <v>657.38</v>
      </c>
      <c r="E53" s="2"/>
      <c r="F53" s="6">
        <f t="shared" si="24"/>
        <v>0</v>
      </c>
      <c r="G53" s="2"/>
      <c r="H53" s="7">
        <v>625</v>
      </c>
      <c r="I53" s="2"/>
      <c r="J53" s="6">
        <f t="shared" si="25"/>
        <v>0</v>
      </c>
      <c r="K53" s="2"/>
      <c r="L53" s="7">
        <f t="shared" si="26"/>
        <v>32.379999999999995</v>
      </c>
      <c r="M53" s="2"/>
      <c r="N53" s="6">
        <f t="shared" si="27"/>
        <v>5.1807999999999993E-2</v>
      </c>
      <c r="O53" s="11"/>
      <c r="P53" s="7">
        <v>2682.65</v>
      </c>
      <c r="Q53" s="2"/>
      <c r="R53" s="6">
        <f t="shared" si="28"/>
        <v>0</v>
      </c>
      <c r="S53" s="2"/>
      <c r="T53" s="7">
        <v>2500</v>
      </c>
      <c r="U53" s="2"/>
      <c r="V53" s="6">
        <f t="shared" si="29"/>
        <v>0</v>
      </c>
      <c r="W53" s="2"/>
      <c r="X53" s="7">
        <f t="shared" si="30"/>
        <v>182.65000000000009</v>
      </c>
      <c r="Y53" s="2"/>
      <c r="Z53" s="6">
        <f t="shared" si="31"/>
        <v>7.3060000000000042E-2</v>
      </c>
    </row>
    <row r="54" spans="1:26" s="28" customFormat="1" outlineLevel="1" collapsed="1" x14ac:dyDescent="0.25">
      <c r="A54" s="29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SUM(OSRRefD22_8x_0)</f>
        <v>195.23</v>
      </c>
      <c r="E54" s="1"/>
      <c r="F54" s="5">
        <f t="shared" si="24"/>
        <v>0</v>
      </c>
      <c r="G54" s="1"/>
      <c r="H54" s="1">
        <f>SUM(OSRRefH22_8x_0)</f>
        <v>100</v>
      </c>
      <c r="I54" s="1"/>
      <c r="J54" s="5">
        <f t="shared" si="25"/>
        <v>0</v>
      </c>
      <c r="K54" s="1"/>
      <c r="L54" s="1">
        <f t="shared" si="26"/>
        <v>95.22999999999999</v>
      </c>
      <c r="M54" s="1"/>
      <c r="N54" s="5">
        <f t="shared" si="27"/>
        <v>0.95229999999999992</v>
      </c>
      <c r="O54" s="14"/>
      <c r="P54" s="1">
        <f>SUM(OSRRefP22_8x_0)</f>
        <v>1540.82</v>
      </c>
      <c r="Q54" s="1"/>
      <c r="R54" s="5">
        <f t="shared" si="28"/>
        <v>0</v>
      </c>
      <c r="S54" s="1"/>
      <c r="T54" s="1">
        <f>SUM(OSRRefT22_8x_0)</f>
        <v>400</v>
      </c>
      <c r="U54" s="1"/>
      <c r="V54" s="5">
        <f t="shared" si="29"/>
        <v>0</v>
      </c>
      <c r="W54" s="1"/>
      <c r="X54" s="1">
        <f t="shared" si="30"/>
        <v>1140.82</v>
      </c>
      <c r="Y54" s="1"/>
      <c r="Z54" s="5">
        <f t="shared" si="31"/>
        <v>2.8520499999999998</v>
      </c>
    </row>
    <row r="55" spans="1:26" s="24" customFormat="1" hidden="1" outlineLevel="2" x14ac:dyDescent="0.25">
      <c r="A55" s="27"/>
      <c r="B55" s="11" t="str">
        <f>CONCATENATE("          ", "6241", " - ", "OFFICE EXPENSE")</f>
        <v xml:space="preserve">          6241 - OFFICE EXPENSE</v>
      </c>
      <c r="C55" s="11"/>
      <c r="D55" s="7">
        <v>195.23</v>
      </c>
      <c r="E55" s="2"/>
      <c r="F55" s="6">
        <f t="shared" si="24"/>
        <v>0</v>
      </c>
      <c r="G55" s="2"/>
      <c r="H55" s="7">
        <v>100</v>
      </c>
      <c r="I55" s="2"/>
      <c r="J55" s="6">
        <f t="shared" si="25"/>
        <v>0</v>
      </c>
      <c r="K55" s="2"/>
      <c r="L55" s="7">
        <f t="shared" si="26"/>
        <v>95.22999999999999</v>
      </c>
      <c r="M55" s="2"/>
      <c r="N55" s="6">
        <f t="shared" si="27"/>
        <v>0.95229999999999992</v>
      </c>
      <c r="O55" s="11"/>
      <c r="P55" s="7">
        <v>1540.82</v>
      </c>
      <c r="Q55" s="2"/>
      <c r="R55" s="6">
        <f t="shared" si="28"/>
        <v>0</v>
      </c>
      <c r="S55" s="2"/>
      <c r="T55" s="7">
        <v>400</v>
      </c>
      <c r="U55" s="2"/>
      <c r="V55" s="6">
        <f t="shared" si="29"/>
        <v>0</v>
      </c>
      <c r="W55" s="2"/>
      <c r="X55" s="7">
        <f t="shared" si="30"/>
        <v>1140.82</v>
      </c>
      <c r="Y55" s="2"/>
      <c r="Z55" s="6">
        <f t="shared" si="31"/>
        <v>2.8520499999999998</v>
      </c>
    </row>
    <row r="56" spans="1:26" s="28" customFormat="1" outlineLevel="1" collapsed="1" x14ac:dyDescent="0.25">
      <c r="A56" s="29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SUM(OSRRefD22_9x_0)</f>
        <v>496.9</v>
      </c>
      <c r="E56" s="1"/>
      <c r="F56" s="5">
        <f t="shared" si="24"/>
        <v>0</v>
      </c>
      <c r="G56" s="1"/>
      <c r="H56" s="1">
        <f>SUM(OSRRefH22_9x_0)</f>
        <v>400</v>
      </c>
      <c r="I56" s="1"/>
      <c r="J56" s="5">
        <f t="shared" si="25"/>
        <v>0</v>
      </c>
      <c r="K56" s="1"/>
      <c r="L56" s="1">
        <f t="shared" si="26"/>
        <v>96.899999999999977</v>
      </c>
      <c r="M56" s="1"/>
      <c r="N56" s="5">
        <f t="shared" si="27"/>
        <v>0.24224999999999994</v>
      </c>
      <c r="O56" s="14"/>
      <c r="P56" s="1">
        <f>SUM(OSRRefP22_9x_0)</f>
        <v>1790.6</v>
      </c>
      <c r="Q56" s="1"/>
      <c r="R56" s="5">
        <f t="shared" si="28"/>
        <v>0</v>
      </c>
      <c r="S56" s="1"/>
      <c r="T56" s="1">
        <f>SUM(OSRRefT22_9x_0)</f>
        <v>1600</v>
      </c>
      <c r="U56" s="1"/>
      <c r="V56" s="5">
        <f t="shared" si="29"/>
        <v>0</v>
      </c>
      <c r="W56" s="1"/>
      <c r="X56" s="1">
        <f t="shared" si="30"/>
        <v>190.59999999999991</v>
      </c>
      <c r="Y56" s="1"/>
      <c r="Z56" s="5">
        <f t="shared" si="31"/>
        <v>0.11912499999999994</v>
      </c>
    </row>
    <row r="57" spans="1:26" s="24" customFormat="1" hidden="1" outlineLevel="2" x14ac:dyDescent="0.25">
      <c r="A57" s="27"/>
      <c r="B57" s="11" t="str">
        <f>CONCATENATE("          ", "6309", " - ", "TELEPHONE")</f>
        <v xml:space="preserve">          6309 - TELEPHONE</v>
      </c>
      <c r="C57" s="11"/>
      <c r="D57" s="7">
        <v>496.9</v>
      </c>
      <c r="E57" s="2"/>
      <c r="F57" s="6">
        <f t="shared" si="24"/>
        <v>0</v>
      </c>
      <c r="G57" s="2"/>
      <c r="H57" s="7">
        <v>400</v>
      </c>
      <c r="I57" s="2"/>
      <c r="J57" s="6">
        <f t="shared" si="25"/>
        <v>0</v>
      </c>
      <c r="K57" s="2"/>
      <c r="L57" s="7">
        <f t="shared" si="26"/>
        <v>96.899999999999977</v>
      </c>
      <c r="M57" s="2"/>
      <c r="N57" s="6">
        <f t="shared" si="27"/>
        <v>0.24224999999999994</v>
      </c>
      <c r="O57" s="11"/>
      <c r="P57" s="7">
        <v>1790.6</v>
      </c>
      <c r="Q57" s="2"/>
      <c r="R57" s="6">
        <f t="shared" si="28"/>
        <v>0</v>
      </c>
      <c r="S57" s="2"/>
      <c r="T57" s="7">
        <v>1600</v>
      </c>
      <c r="U57" s="2"/>
      <c r="V57" s="6">
        <f t="shared" si="29"/>
        <v>0</v>
      </c>
      <c r="W57" s="2"/>
      <c r="X57" s="7">
        <f t="shared" si="30"/>
        <v>190.59999999999991</v>
      </c>
      <c r="Y57" s="2"/>
      <c r="Z57" s="6">
        <f t="shared" si="31"/>
        <v>0.11912499999999994</v>
      </c>
    </row>
    <row r="58" spans="1:26" s="28" customFormat="1" outlineLevel="1" collapsed="1" x14ac:dyDescent="0.25">
      <c r="A58" s="29"/>
      <c r="B58" s="14" t="str">
        <f>CONCATENATE("     ","Training                                          ")</f>
        <v xml:space="preserve">     Training                                          </v>
      </c>
      <c r="C58" s="14"/>
      <c r="D58" s="1">
        <f>SUM(OSRRefD22_10x_0)</f>
        <v>0</v>
      </c>
      <c r="E58" s="1"/>
      <c r="F58" s="5">
        <f t="shared" si="24"/>
        <v>0</v>
      </c>
      <c r="G58" s="1"/>
      <c r="H58" s="1">
        <f>SUM(OSRRefH22_10x_0)</f>
        <v>0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4"/>
      <c r="P58" s="1">
        <f>SUM(OSRRefP22_10x_0)</f>
        <v>595</v>
      </c>
      <c r="Q58" s="1"/>
      <c r="R58" s="5">
        <f t="shared" si="28"/>
        <v>0</v>
      </c>
      <c r="S58" s="1"/>
      <c r="T58" s="1">
        <f>SUM(OSRRefT22_10x_0)</f>
        <v>0</v>
      </c>
      <c r="U58" s="1"/>
      <c r="V58" s="5">
        <f t="shared" si="29"/>
        <v>0</v>
      </c>
      <c r="W58" s="1"/>
      <c r="X58" s="1">
        <f t="shared" si="30"/>
        <v>595</v>
      </c>
      <c r="Y58" s="1"/>
      <c r="Z58" s="5">
        <f t="shared" si="31"/>
        <v>0</v>
      </c>
    </row>
    <row r="59" spans="1:26" s="24" customFormat="1" hidden="1" outlineLevel="2" x14ac:dyDescent="0.25">
      <c r="A59" s="27"/>
      <c r="B59" s="11" t="str">
        <f>CONCATENATE("          ", "6376", " - ", "TRAINING")</f>
        <v xml:space="preserve">          6376 - TRAINING</v>
      </c>
      <c r="C59" s="11"/>
      <c r="D59" s="7"/>
      <c r="E59" s="2"/>
      <c r="F59" s="6">
        <f t="shared" si="24"/>
        <v>0</v>
      </c>
      <c r="G59" s="2"/>
      <c r="H59" s="7"/>
      <c r="I59" s="2"/>
      <c r="J59" s="6">
        <f t="shared" si="25"/>
        <v>0</v>
      </c>
      <c r="K59" s="2"/>
      <c r="L59" s="7">
        <f t="shared" si="26"/>
        <v>0</v>
      </c>
      <c r="M59" s="2"/>
      <c r="N59" s="6">
        <f t="shared" si="27"/>
        <v>0</v>
      </c>
      <c r="O59" s="11"/>
      <c r="P59" s="7">
        <v>595</v>
      </c>
      <c r="Q59" s="2"/>
      <c r="R59" s="6">
        <f t="shared" si="28"/>
        <v>0</v>
      </c>
      <c r="S59" s="2"/>
      <c r="T59" s="7"/>
      <c r="U59" s="2"/>
      <c r="V59" s="6">
        <f t="shared" si="29"/>
        <v>0</v>
      </c>
      <c r="W59" s="2"/>
      <c r="X59" s="7">
        <f t="shared" si="30"/>
        <v>595</v>
      </c>
      <c r="Y59" s="2"/>
      <c r="Z59" s="6">
        <f t="shared" si="31"/>
        <v>0</v>
      </c>
    </row>
    <row r="60" spans="1:26" s="28" customFormat="1" outlineLevel="1" collapsed="1" x14ac:dyDescent="0.25">
      <c r="A60" s="29"/>
      <c r="B60" s="14" t="str">
        <f>CONCATENATE("     ","Travel                                            ")</f>
        <v xml:space="preserve">     Travel                                            </v>
      </c>
      <c r="C60" s="14"/>
      <c r="D60" s="1">
        <f>SUM(OSRRefD22_11x_0)</f>
        <v>0</v>
      </c>
      <c r="E60" s="1"/>
      <c r="F60" s="5">
        <f t="shared" si="24"/>
        <v>0</v>
      </c>
      <c r="G60" s="1"/>
      <c r="H60" s="1">
        <f>SUM(OSRRefH22_11x_0)</f>
        <v>0</v>
      </c>
      <c r="I60" s="1"/>
      <c r="J60" s="5">
        <f t="shared" si="25"/>
        <v>0</v>
      </c>
      <c r="K60" s="1"/>
      <c r="L60" s="1">
        <f t="shared" si="26"/>
        <v>0</v>
      </c>
      <c r="M60" s="1"/>
      <c r="N60" s="5">
        <f t="shared" si="27"/>
        <v>0</v>
      </c>
      <c r="O60" s="14"/>
      <c r="P60" s="1">
        <f>SUM(OSRRefP22_11x_0)</f>
        <v>30.4</v>
      </c>
      <c r="Q60" s="1"/>
      <c r="R60" s="5">
        <f t="shared" si="28"/>
        <v>0</v>
      </c>
      <c r="S60" s="1"/>
      <c r="T60" s="1">
        <f>SUM(OSRRefT22_11x_0)</f>
        <v>0</v>
      </c>
      <c r="U60" s="1"/>
      <c r="V60" s="5">
        <f t="shared" si="29"/>
        <v>0</v>
      </c>
      <c r="W60" s="1"/>
      <c r="X60" s="1">
        <f t="shared" si="30"/>
        <v>30.4</v>
      </c>
      <c r="Y60" s="1"/>
      <c r="Z60" s="5">
        <f t="shared" si="31"/>
        <v>0</v>
      </c>
    </row>
    <row r="61" spans="1:26" s="24" customFormat="1" hidden="1" outlineLevel="2" x14ac:dyDescent="0.25">
      <c r="A61" s="27"/>
      <c r="B61" s="11" t="str">
        <f>CONCATENATE("          ", "6294", " - ", "TRAVEL OPERATIONAL")</f>
        <v xml:space="preserve">          6294 - TRAVEL OPERATIONAL</v>
      </c>
      <c r="C61" s="11"/>
      <c r="D61" s="7"/>
      <c r="E61" s="2"/>
      <c r="F61" s="6">
        <f t="shared" si="24"/>
        <v>0</v>
      </c>
      <c r="G61" s="2"/>
      <c r="H61" s="7"/>
      <c r="I61" s="2"/>
      <c r="J61" s="6">
        <f t="shared" si="25"/>
        <v>0</v>
      </c>
      <c r="K61" s="2"/>
      <c r="L61" s="7">
        <f t="shared" si="26"/>
        <v>0</v>
      </c>
      <c r="M61" s="2"/>
      <c r="N61" s="6">
        <f t="shared" si="27"/>
        <v>0</v>
      </c>
      <c r="O61" s="11"/>
      <c r="P61" s="7">
        <v>30.4</v>
      </c>
      <c r="Q61" s="2"/>
      <c r="R61" s="6">
        <f t="shared" si="28"/>
        <v>0</v>
      </c>
      <c r="S61" s="2"/>
      <c r="T61" s="7"/>
      <c r="U61" s="2"/>
      <c r="V61" s="6">
        <f t="shared" si="29"/>
        <v>0</v>
      </c>
      <c r="W61" s="2"/>
      <c r="X61" s="7">
        <f t="shared" si="30"/>
        <v>30.4</v>
      </c>
      <c r="Y61" s="2"/>
      <c r="Z61" s="6">
        <f t="shared" si="31"/>
        <v>0</v>
      </c>
    </row>
    <row r="62" spans="1:26" s="60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5" t="s">
        <v>293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6" t="s">
        <v>277</v>
      </c>
      <c r="C65" s="26"/>
      <c r="D65" s="21">
        <f>+D16-D18+D63</f>
        <v>-46230.25</v>
      </c>
      <c r="E65" s="13"/>
      <c r="F65" s="20">
        <f>IF(D$12=0,0,D65/D$12)</f>
        <v>0</v>
      </c>
      <c r="G65" s="13"/>
      <c r="H65" s="21">
        <f>+H16-H18+H63</f>
        <v>-44910.636430384591</v>
      </c>
      <c r="I65" s="13"/>
      <c r="J65" s="20">
        <f>IF(H$12=0,0,H65/H$12)</f>
        <v>0</v>
      </c>
      <c r="K65" s="15"/>
      <c r="L65" s="21">
        <f>+D65-H65</f>
        <v>-1319.6135696154088</v>
      </c>
      <c r="M65" s="15"/>
      <c r="N65" s="20">
        <f>IF(H65=0,0,L65/H65)</f>
        <v>2.9383096622576814E-2</v>
      </c>
      <c r="O65" s="25"/>
      <c r="P65" s="21">
        <f>+P16-P18+P63</f>
        <v>-166089.64999999997</v>
      </c>
      <c r="Q65" s="13"/>
      <c r="R65" s="20">
        <f>IF(P$12=0,0,P65/P$12)</f>
        <v>0</v>
      </c>
      <c r="S65" s="13"/>
      <c r="T65" s="21">
        <f>+T16-T18+T63</f>
        <v>-160496.0831493845</v>
      </c>
      <c r="U65" s="13"/>
      <c r="V65" s="20">
        <f>IF(T$12=0,0,T65/T$12)</f>
        <v>0</v>
      </c>
      <c r="W65" s="15"/>
      <c r="X65" s="21">
        <f>+P65-T65</f>
        <v>-5593.5668506154616</v>
      </c>
      <c r="Y65" s="15"/>
      <c r="Z65" s="20">
        <f>IF(T65=0,0,X65/T65)</f>
        <v>3.4851734328053059E-2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2"/>
      <c r="B67" s="10" t="s">
        <v>128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6" t="s">
        <v>126</v>
      </c>
      <c r="C69" s="26"/>
      <c r="D69" s="31">
        <f>+D65-D67</f>
        <v>-46230.25</v>
      </c>
      <c r="E69" s="13"/>
      <c r="F69" s="33">
        <f>IF(D$12=0,0,D69/D$12)</f>
        <v>0</v>
      </c>
      <c r="G69" s="13"/>
      <c r="H69" s="31">
        <f>+H65-H67</f>
        <v>-44910.636430384591</v>
      </c>
      <c r="I69" s="13"/>
      <c r="J69" s="33">
        <f>IF(H$12=0,0,H69/H$12)</f>
        <v>0</v>
      </c>
      <c r="K69" s="15"/>
      <c r="L69" s="31">
        <f>D69-H69</f>
        <v>-1319.6135696154088</v>
      </c>
      <c r="M69" s="15"/>
      <c r="N69" s="33">
        <f>IF(H69=0,0,L69/H69)</f>
        <v>2.9383096622576814E-2</v>
      </c>
      <c r="O69" s="25"/>
      <c r="P69" s="31">
        <f>+P65-P67</f>
        <v>-166089.64999999997</v>
      </c>
      <c r="Q69" s="13"/>
      <c r="R69" s="33">
        <f>IF(P$12=0,0,P69/P$12)</f>
        <v>0</v>
      </c>
      <c r="S69" s="13"/>
      <c r="T69" s="31">
        <f>+T65-T67</f>
        <v>-160496.0831493845</v>
      </c>
      <c r="U69" s="13"/>
      <c r="V69" s="33">
        <f>IF(T$12=0,0,T69/T$12)</f>
        <v>0</v>
      </c>
      <c r="W69" s="15"/>
      <c r="X69" s="31">
        <f>P69-T69</f>
        <v>-5593.5668506154616</v>
      </c>
      <c r="Y69" s="15"/>
      <c r="Z69" s="33">
        <f>IF(T69=0,0,X69/T69)</f>
        <v>3.4851734328053059E-2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6" t="s">
        <v>294</v>
      </c>
      <c r="C72" s="26"/>
      <c r="D72" s="35">
        <f>SUM(D69:D71)</f>
        <v>-46230.25</v>
      </c>
      <c r="E72" s="13"/>
      <c r="F72" s="32">
        <f>IF(D$12=0,0,D72/D$12)</f>
        <v>0</v>
      </c>
      <c r="G72" s="13"/>
      <c r="H72" s="35">
        <f>SUM(H69:H71)</f>
        <v>-44910.636430384591</v>
      </c>
      <c r="I72" s="13"/>
      <c r="J72" s="32">
        <f>IF(H$12=0,0,H72/H$12)</f>
        <v>0</v>
      </c>
      <c r="K72" s="15"/>
      <c r="L72" s="35">
        <f>+D72-H72</f>
        <v>-1319.6135696154088</v>
      </c>
      <c r="M72" s="15"/>
      <c r="N72" s="32">
        <f>IF(H72=0,0,L72/H72)</f>
        <v>2.9383096622576814E-2</v>
      </c>
      <c r="O72" s="25"/>
      <c r="P72" s="35">
        <f>SUM(P69:P71)</f>
        <v>-166089.64999999997</v>
      </c>
      <c r="Q72" s="13"/>
      <c r="R72" s="32">
        <f>IF(P$12=0,0,P72/P$12)</f>
        <v>0</v>
      </c>
      <c r="S72" s="13"/>
      <c r="T72" s="35">
        <f>SUM(T69:T71)</f>
        <v>-160496.0831493845</v>
      </c>
      <c r="U72" s="13"/>
      <c r="V72" s="32">
        <f>IF(T$12=0,0,T72/T$12)</f>
        <v>0</v>
      </c>
      <c r="W72" s="15"/>
      <c r="X72" s="35">
        <f>+P72-T72</f>
        <v>-5593.5668506154616</v>
      </c>
      <c r="Y72" s="15"/>
      <c r="Z72" s="32">
        <f>IF(T72=0,0,X72/T72)</f>
        <v>3.4851734328053059E-2</v>
      </c>
    </row>
    <row r="73" spans="1:26" ht="15.75" thickTop="1" x14ac:dyDescent="0.25">
      <c r="A73" s="9"/>
      <c r="C73" s="9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59">
        <v>44517.962875613426</v>
      </c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62" t="s">
        <v>56</v>
      </c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57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","203", " - ", "Human Resources")</f>
        <v>Department 203 - Human Resources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63484.42</v>
      </c>
      <c r="E18" s="22"/>
      <c r="F18" s="34">
        <f t="shared" ref="F18:F29" si="0">IF(D$12=0,0,D18/D$12)</f>
        <v>0</v>
      </c>
      <c r="G18" s="22"/>
      <c r="H18" s="22">
        <f>SUM(OSRRefH22x_0)</f>
        <v>55242.831462107686</v>
      </c>
      <c r="I18" s="22"/>
      <c r="J18" s="34">
        <f t="shared" ref="J18:J29" si="1">IF(H$12=0,0,H18/H$12)</f>
        <v>0</v>
      </c>
      <c r="K18" s="4"/>
      <c r="L18" s="22">
        <f t="shared" ref="L18:L29" si="2">+D18-H18</f>
        <v>8241.5885378923122</v>
      </c>
      <c r="M18" s="4"/>
      <c r="N18" s="34">
        <f t="shared" ref="N18:N29" si="3">IF(H18=0,0,L18/H18)</f>
        <v>0.14918838009860891</v>
      </c>
      <c r="O18" s="10"/>
      <c r="P18" s="22">
        <f>SUM(OSRRefP22x_0)</f>
        <v>217212.36999999994</v>
      </c>
      <c r="Q18" s="22"/>
      <c r="R18" s="34">
        <f t="shared" ref="R18:R29" si="4">IF(P$12=0,0,P18/P$12)</f>
        <v>0</v>
      </c>
      <c r="S18" s="22"/>
      <c r="T18" s="22">
        <f>SUM(OSRRefT22x_0)</f>
        <v>202184.19326358769</v>
      </c>
      <c r="U18" s="22"/>
      <c r="V18" s="34">
        <f t="shared" ref="V18:V29" si="5">IF(T$12=0,0,T18/T$12)</f>
        <v>0</v>
      </c>
      <c r="W18" s="4"/>
      <c r="X18" s="22">
        <f t="shared" ref="X18:X29" si="6">+P18-T18</f>
        <v>15028.17673641225</v>
      </c>
      <c r="Y18" s="4"/>
      <c r="Z18" s="34">
        <f t="shared" ref="Z18:Z29" si="7">IF(T18=0,0,X18/T18)</f>
        <v>7.4329137673092002E-2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16808.91</v>
      </c>
      <c r="E19" s="1"/>
      <c r="F19" s="5">
        <f t="shared" si="0"/>
        <v>0</v>
      </c>
      <c r="G19" s="1"/>
      <c r="H19" s="1">
        <f>SUM(OSRRefH22_0x_0)</f>
        <v>13249.599262107689</v>
      </c>
      <c r="I19" s="1"/>
      <c r="J19" s="5">
        <f t="shared" si="1"/>
        <v>0</v>
      </c>
      <c r="K19" s="1"/>
      <c r="L19" s="1">
        <f t="shared" si="2"/>
        <v>3559.3107378923105</v>
      </c>
      <c r="M19" s="1"/>
      <c r="N19" s="5">
        <f t="shared" si="3"/>
        <v>0.26863535020802665</v>
      </c>
      <c r="O19" s="14"/>
      <c r="P19" s="1">
        <f>SUM(OSRRefP22_0x_0)</f>
        <v>57243.069999999992</v>
      </c>
      <c r="Q19" s="1"/>
      <c r="R19" s="5">
        <f t="shared" si="4"/>
        <v>0</v>
      </c>
      <c r="S19" s="1"/>
      <c r="T19" s="1">
        <f>SUM(OSRRefT22_0x_0)</f>
        <v>48936.1573435877</v>
      </c>
      <c r="U19" s="1"/>
      <c r="V19" s="5">
        <f t="shared" si="5"/>
        <v>0</v>
      </c>
      <c r="W19" s="1"/>
      <c r="X19" s="1">
        <f t="shared" si="6"/>
        <v>8306.9126564122926</v>
      </c>
      <c r="Y19" s="1"/>
      <c r="Z19" s="5">
        <f t="shared" si="7"/>
        <v>0.16974999892386894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3274.4</v>
      </c>
      <c r="E20" s="2"/>
      <c r="F20" s="6">
        <f t="shared" si="0"/>
        <v>0</v>
      </c>
      <c r="G20" s="2"/>
      <c r="H20" s="7">
        <v>1950.3104178000001</v>
      </c>
      <c r="I20" s="2"/>
      <c r="J20" s="6">
        <f t="shared" si="1"/>
        <v>0</v>
      </c>
      <c r="K20" s="2"/>
      <c r="L20" s="7">
        <f t="shared" si="2"/>
        <v>1324.0895822</v>
      </c>
      <c r="M20" s="2"/>
      <c r="N20" s="6">
        <f t="shared" si="3"/>
        <v>0.67891222346728108</v>
      </c>
      <c r="O20" s="11"/>
      <c r="P20" s="7">
        <v>9547.82</v>
      </c>
      <c r="Q20" s="2"/>
      <c r="R20" s="6">
        <f t="shared" si="4"/>
        <v>0</v>
      </c>
      <c r="S20" s="2"/>
      <c r="T20" s="7">
        <v>7021.1175040799999</v>
      </c>
      <c r="U20" s="2"/>
      <c r="V20" s="6">
        <f t="shared" si="5"/>
        <v>0</v>
      </c>
      <c r="W20" s="2"/>
      <c r="X20" s="7">
        <f t="shared" si="6"/>
        <v>2526.7024959199998</v>
      </c>
      <c r="Y20" s="2"/>
      <c r="Z20" s="6">
        <f t="shared" si="7"/>
        <v>0.35987184297253577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548.39</v>
      </c>
      <c r="E21" s="2"/>
      <c r="F21" s="6">
        <f t="shared" si="0"/>
        <v>0</v>
      </c>
      <c r="G21" s="2"/>
      <c r="H21" s="7">
        <v>102.251206</v>
      </c>
      <c r="I21" s="2"/>
      <c r="J21" s="6">
        <f t="shared" si="1"/>
        <v>0</v>
      </c>
      <c r="K21" s="2"/>
      <c r="L21" s="7">
        <f t="shared" si="2"/>
        <v>446.13879399999996</v>
      </c>
      <c r="M21" s="2"/>
      <c r="N21" s="6">
        <f t="shared" si="3"/>
        <v>4.3631641273746933</v>
      </c>
      <c r="O21" s="11"/>
      <c r="P21" s="7">
        <v>1601.09</v>
      </c>
      <c r="Q21" s="2"/>
      <c r="R21" s="6">
        <f t="shared" si="4"/>
        <v>0</v>
      </c>
      <c r="S21" s="2"/>
      <c r="T21" s="7">
        <v>368.1043416</v>
      </c>
      <c r="U21" s="2"/>
      <c r="V21" s="6">
        <f t="shared" si="5"/>
        <v>0</v>
      </c>
      <c r="W21" s="2"/>
      <c r="X21" s="7">
        <f t="shared" si="6"/>
        <v>1232.9856583999999</v>
      </c>
      <c r="Y21" s="2"/>
      <c r="Z21" s="6">
        <f t="shared" si="7"/>
        <v>3.3495547839525943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6048.94</v>
      </c>
      <c r="E22" s="2"/>
      <c r="F22" s="6">
        <f t="shared" si="0"/>
        <v>0</v>
      </c>
      <c r="G22" s="2"/>
      <c r="H22" s="7">
        <v>7304.3076923076896</v>
      </c>
      <c r="I22" s="2"/>
      <c r="J22" s="6">
        <f t="shared" si="1"/>
        <v>0</v>
      </c>
      <c r="K22" s="2"/>
      <c r="L22" s="7">
        <f t="shared" si="2"/>
        <v>-1255.36769230769</v>
      </c>
      <c r="M22" s="2"/>
      <c r="N22" s="6">
        <f t="shared" si="3"/>
        <v>-0.1718667593411683</v>
      </c>
      <c r="O22" s="11"/>
      <c r="P22" s="7">
        <v>24229.51</v>
      </c>
      <c r="Q22" s="2"/>
      <c r="R22" s="6">
        <f t="shared" si="4"/>
        <v>0</v>
      </c>
      <c r="S22" s="2"/>
      <c r="T22" s="7">
        <v>27086.307692307699</v>
      </c>
      <c r="U22" s="2"/>
      <c r="V22" s="6">
        <f t="shared" si="5"/>
        <v>0</v>
      </c>
      <c r="W22" s="2"/>
      <c r="X22" s="7">
        <f t="shared" si="6"/>
        <v>-2856.7976923077003</v>
      </c>
      <c r="Y22" s="2"/>
      <c r="Z22" s="6">
        <f t="shared" si="7"/>
        <v>-0.10547017794968816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110.53</v>
      </c>
      <c r="E23" s="2"/>
      <c r="F23" s="6">
        <f t="shared" si="0"/>
        <v>0</v>
      </c>
      <c r="G23" s="2"/>
      <c r="H23" s="7">
        <v>69.266946000000004</v>
      </c>
      <c r="I23" s="2"/>
      <c r="J23" s="6">
        <f t="shared" si="1"/>
        <v>0</v>
      </c>
      <c r="K23" s="2"/>
      <c r="L23" s="7">
        <f t="shared" si="2"/>
        <v>41.263053999999997</v>
      </c>
      <c r="M23" s="2"/>
      <c r="N23" s="6">
        <f t="shared" si="3"/>
        <v>0.59571060055109104</v>
      </c>
      <c r="O23" s="11"/>
      <c r="P23" s="7">
        <v>322.7</v>
      </c>
      <c r="Q23" s="2"/>
      <c r="R23" s="6">
        <f t="shared" si="4"/>
        <v>0</v>
      </c>
      <c r="S23" s="2"/>
      <c r="T23" s="7">
        <v>249.3610056</v>
      </c>
      <c r="U23" s="2"/>
      <c r="V23" s="6">
        <f t="shared" si="5"/>
        <v>0</v>
      </c>
      <c r="W23" s="2"/>
      <c r="X23" s="7">
        <f t="shared" si="6"/>
        <v>73.33899439999999</v>
      </c>
      <c r="Y23" s="2"/>
      <c r="Z23" s="6">
        <f t="shared" si="7"/>
        <v>0.29410771031956406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1857.03</v>
      </c>
      <c r="E24" s="2"/>
      <c r="F24" s="6">
        <f t="shared" si="0"/>
        <v>0</v>
      </c>
      <c r="G24" s="2"/>
      <c r="H24" s="7">
        <v>1107.25</v>
      </c>
      <c r="I24" s="2"/>
      <c r="J24" s="6">
        <f t="shared" si="1"/>
        <v>0</v>
      </c>
      <c r="K24" s="2"/>
      <c r="L24" s="7">
        <f t="shared" si="2"/>
        <v>749.78</v>
      </c>
      <c r="M24" s="2"/>
      <c r="N24" s="6">
        <f t="shared" si="3"/>
        <v>0.67715511402122375</v>
      </c>
      <c r="O24" s="11"/>
      <c r="P24" s="7">
        <v>5571.09</v>
      </c>
      <c r="Q24" s="2"/>
      <c r="R24" s="6">
        <f t="shared" si="4"/>
        <v>0</v>
      </c>
      <c r="S24" s="2"/>
      <c r="T24" s="7">
        <v>3986.1</v>
      </c>
      <c r="U24" s="2"/>
      <c r="V24" s="6">
        <f t="shared" si="5"/>
        <v>0</v>
      </c>
      <c r="W24" s="2"/>
      <c r="X24" s="7">
        <f t="shared" si="6"/>
        <v>1584.9900000000002</v>
      </c>
      <c r="Y24" s="2"/>
      <c r="Z24" s="6">
        <f t="shared" si="7"/>
        <v>0.3976292616843532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417</v>
      </c>
      <c r="I25" s="2"/>
      <c r="J25" s="6">
        <f t="shared" si="1"/>
        <v>0</v>
      </c>
      <c r="K25" s="2"/>
      <c r="L25" s="7">
        <f t="shared" si="2"/>
        <v>-417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1668</v>
      </c>
      <c r="U25" s="2"/>
      <c r="V25" s="6">
        <f t="shared" si="5"/>
        <v>0</v>
      </c>
      <c r="W25" s="2"/>
      <c r="X25" s="7">
        <f t="shared" si="6"/>
        <v>-1668</v>
      </c>
      <c r="Y25" s="2"/>
      <c r="Z25" s="6">
        <f t="shared" si="7"/>
        <v>-1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631.9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631.9</v>
      </c>
      <c r="M26" s="2"/>
      <c r="N26" s="6">
        <f t="shared" si="3"/>
        <v>0</v>
      </c>
      <c r="O26" s="11"/>
      <c r="P26" s="7">
        <v>2482.33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2482.33</v>
      </c>
      <c r="Y26" s="2"/>
      <c r="Z26" s="6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7">
        <v>2167.06</v>
      </c>
      <c r="E27" s="2"/>
      <c r="F27" s="6">
        <f t="shared" si="0"/>
        <v>0</v>
      </c>
      <c r="G27" s="2"/>
      <c r="H27" s="7">
        <v>914.52779999999996</v>
      </c>
      <c r="I27" s="2"/>
      <c r="J27" s="6">
        <f t="shared" si="1"/>
        <v>0</v>
      </c>
      <c r="K27" s="2"/>
      <c r="L27" s="7">
        <f t="shared" si="2"/>
        <v>1252.5322000000001</v>
      </c>
      <c r="M27" s="2"/>
      <c r="N27" s="6">
        <f t="shared" si="3"/>
        <v>1.3695944508193192</v>
      </c>
      <c r="O27" s="11"/>
      <c r="P27" s="7">
        <v>7475.5</v>
      </c>
      <c r="Q27" s="2"/>
      <c r="R27" s="6">
        <f t="shared" si="4"/>
        <v>0</v>
      </c>
      <c r="S27" s="2"/>
      <c r="T27" s="7">
        <v>3292.30008</v>
      </c>
      <c r="U27" s="2"/>
      <c r="V27" s="6">
        <f t="shared" si="5"/>
        <v>0</v>
      </c>
      <c r="W27" s="2"/>
      <c r="X27" s="7">
        <f t="shared" si="6"/>
        <v>4183.19992</v>
      </c>
      <c r="Y27" s="2"/>
      <c r="Z27" s="6">
        <f t="shared" si="7"/>
        <v>1.2706010443616671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7">
        <v>1741.62</v>
      </c>
      <c r="E28" s="2"/>
      <c r="F28" s="6">
        <f t="shared" si="0"/>
        <v>0</v>
      </c>
      <c r="G28" s="2"/>
      <c r="H28" s="7">
        <v>684.68520000000001</v>
      </c>
      <c r="I28" s="2"/>
      <c r="J28" s="6">
        <f t="shared" si="1"/>
        <v>0</v>
      </c>
      <c r="K28" s="2"/>
      <c r="L28" s="7">
        <f t="shared" si="2"/>
        <v>1056.9348</v>
      </c>
      <c r="M28" s="2"/>
      <c r="N28" s="6">
        <f t="shared" si="3"/>
        <v>1.5436799276514228</v>
      </c>
      <c r="O28" s="11"/>
      <c r="P28" s="7">
        <v>5224.8599999999997</v>
      </c>
      <c r="Q28" s="2"/>
      <c r="R28" s="6">
        <f t="shared" si="4"/>
        <v>0</v>
      </c>
      <c r="S28" s="2"/>
      <c r="T28" s="7">
        <v>2464.86672</v>
      </c>
      <c r="U28" s="2"/>
      <c r="V28" s="6">
        <f t="shared" si="5"/>
        <v>0</v>
      </c>
      <c r="W28" s="2"/>
      <c r="X28" s="7">
        <f t="shared" si="6"/>
        <v>2759.9932799999997</v>
      </c>
      <c r="Y28" s="2"/>
      <c r="Z28" s="6">
        <f t="shared" si="7"/>
        <v>1.1197332730428522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7">
        <v>429.04</v>
      </c>
      <c r="E29" s="2"/>
      <c r="F29" s="6">
        <f t="shared" si="0"/>
        <v>0</v>
      </c>
      <c r="G29" s="2"/>
      <c r="H29" s="7">
        <v>700</v>
      </c>
      <c r="I29" s="2"/>
      <c r="J29" s="6">
        <f t="shared" si="1"/>
        <v>0</v>
      </c>
      <c r="K29" s="2"/>
      <c r="L29" s="7">
        <f t="shared" si="2"/>
        <v>-270.95999999999998</v>
      </c>
      <c r="M29" s="2"/>
      <c r="N29" s="6">
        <f t="shared" si="3"/>
        <v>-0.38708571428571426</v>
      </c>
      <c r="O29" s="11"/>
      <c r="P29" s="7">
        <v>788.17</v>
      </c>
      <c r="Q29" s="2"/>
      <c r="R29" s="6">
        <f t="shared" si="4"/>
        <v>0</v>
      </c>
      <c r="S29" s="2"/>
      <c r="T29" s="7">
        <v>2800</v>
      </c>
      <c r="U29" s="2"/>
      <c r="V29" s="6">
        <f t="shared" si="5"/>
        <v>0</v>
      </c>
      <c r="W29" s="2"/>
      <c r="X29" s="7">
        <f t="shared" si="6"/>
        <v>-2011.83</v>
      </c>
      <c r="Y29" s="2"/>
      <c r="Z29" s="6">
        <f t="shared" si="7"/>
        <v>-0.71851071428571422</v>
      </c>
    </row>
    <row r="30" spans="1:26" s="28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33194.06</v>
      </c>
      <c r="E30" s="1"/>
      <c r="F30" s="5">
        <f t="shared" ref="F30:F40" si="8">IF(D$12=0,0,D30/D$12)</f>
        <v>0</v>
      </c>
      <c r="G30" s="1"/>
      <c r="H30" s="1">
        <f>SUM(OSRRefH22_1x_0)</f>
        <v>29312.232199999999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3881.8277999999991</v>
      </c>
      <c r="M30" s="1"/>
      <c r="N30" s="5">
        <f t="shared" ref="N30:N40" si="11">IF(H30=0,0,L30/H30)</f>
        <v>0.13243030327796049</v>
      </c>
      <c r="O30" s="14"/>
      <c r="P30" s="1">
        <f>SUM(OSRRefP22_1x_0)</f>
        <v>117849.32</v>
      </c>
      <c r="Q30" s="1"/>
      <c r="R30" s="5">
        <f t="shared" ref="R30:R40" si="12">IF(P$12=0,0,P30/P$12)</f>
        <v>0</v>
      </c>
      <c r="S30" s="1"/>
      <c r="T30" s="1">
        <f>SUM(OSRRefT22_1x_0)</f>
        <v>105524.03591999999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12325.284080000012</v>
      </c>
      <c r="Y30" s="1"/>
      <c r="Z30" s="5">
        <f t="shared" ref="Z30:Z40" si="15">IF(T30=0,0,X30/T30)</f>
        <v>0.1168007267021522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>
        <v>13085.43</v>
      </c>
      <c r="E31" s="2"/>
      <c r="F31" s="6">
        <f t="shared" si="8"/>
        <v>0</v>
      </c>
      <c r="G31" s="2"/>
      <c r="H31" s="7">
        <v>12231.25</v>
      </c>
      <c r="I31" s="2"/>
      <c r="J31" s="6">
        <f t="shared" si="9"/>
        <v>0</v>
      </c>
      <c r="K31" s="2"/>
      <c r="L31" s="7">
        <f t="shared" si="10"/>
        <v>854.18000000000029</v>
      </c>
      <c r="M31" s="2"/>
      <c r="N31" s="6">
        <f t="shared" si="11"/>
        <v>6.9835871231476776E-2</v>
      </c>
      <c r="O31" s="11"/>
      <c r="P31" s="7">
        <v>47791.3</v>
      </c>
      <c r="Q31" s="2"/>
      <c r="R31" s="6">
        <f t="shared" si="12"/>
        <v>0</v>
      </c>
      <c r="S31" s="2"/>
      <c r="T31" s="7">
        <v>44032.5</v>
      </c>
      <c r="U31" s="2"/>
      <c r="V31" s="6">
        <f t="shared" si="13"/>
        <v>0</v>
      </c>
      <c r="W31" s="2"/>
      <c r="X31" s="7">
        <f t="shared" si="14"/>
        <v>3758.8000000000029</v>
      </c>
      <c r="Y31" s="2"/>
      <c r="Z31" s="6">
        <f t="shared" si="15"/>
        <v>8.5364219610515032E-2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7">
        <v>20959.38</v>
      </c>
      <c r="E34" s="2"/>
      <c r="F34" s="6">
        <f t="shared" si="8"/>
        <v>0</v>
      </c>
      <c r="G34" s="2"/>
      <c r="H34" s="7">
        <v>12230.9822</v>
      </c>
      <c r="I34" s="2"/>
      <c r="J34" s="6">
        <f t="shared" si="9"/>
        <v>0</v>
      </c>
      <c r="K34" s="2"/>
      <c r="L34" s="7">
        <f t="shared" si="10"/>
        <v>8728.3978000000006</v>
      </c>
      <c r="M34" s="2"/>
      <c r="N34" s="6">
        <f t="shared" si="11"/>
        <v>0.71363016128009737</v>
      </c>
      <c r="O34" s="11"/>
      <c r="P34" s="7">
        <v>62176.27</v>
      </c>
      <c r="Q34" s="2"/>
      <c r="R34" s="6">
        <f t="shared" si="12"/>
        <v>0</v>
      </c>
      <c r="S34" s="2"/>
      <c r="T34" s="7">
        <v>44031.535920000002</v>
      </c>
      <c r="U34" s="2"/>
      <c r="V34" s="6">
        <f t="shared" si="13"/>
        <v>0</v>
      </c>
      <c r="W34" s="2"/>
      <c r="X34" s="7">
        <f t="shared" si="14"/>
        <v>18144.734079999995</v>
      </c>
      <c r="Y34" s="2"/>
      <c r="Z34" s="6">
        <f t="shared" si="15"/>
        <v>0.41208496821384544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>
        <v>3267.25</v>
      </c>
      <c r="E35" s="2"/>
      <c r="F35" s="6">
        <f t="shared" si="8"/>
        <v>0</v>
      </c>
      <c r="G35" s="2"/>
      <c r="H35" s="7">
        <v>4850</v>
      </c>
      <c r="I35" s="2"/>
      <c r="J35" s="6">
        <f t="shared" si="9"/>
        <v>0</v>
      </c>
      <c r="K35" s="2"/>
      <c r="L35" s="7">
        <f t="shared" si="10"/>
        <v>-1582.75</v>
      </c>
      <c r="M35" s="2"/>
      <c r="N35" s="6">
        <f t="shared" si="11"/>
        <v>-0.32634020618556703</v>
      </c>
      <c r="O35" s="11"/>
      <c r="P35" s="7">
        <v>7881.75</v>
      </c>
      <c r="Q35" s="2"/>
      <c r="R35" s="6">
        <f t="shared" si="12"/>
        <v>0</v>
      </c>
      <c r="S35" s="2"/>
      <c r="T35" s="7">
        <v>17460</v>
      </c>
      <c r="U35" s="2"/>
      <c r="V35" s="6">
        <f t="shared" si="13"/>
        <v>0</v>
      </c>
      <c r="W35" s="2"/>
      <c r="X35" s="7">
        <f t="shared" si="14"/>
        <v>-9578.25</v>
      </c>
      <c r="Y35" s="2"/>
      <c r="Z35" s="6">
        <f t="shared" si="15"/>
        <v>-0.54858247422680417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7">
        <v>-4118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-4118</v>
      </c>
      <c r="M37" s="2"/>
      <c r="N37" s="6">
        <f t="shared" si="11"/>
        <v>0</v>
      </c>
      <c r="O37" s="11"/>
      <c r="P37" s="7">
        <v>0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8" customFormat="1" outlineLevel="1" collapsed="1" x14ac:dyDescent="0.25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87.76</v>
      </c>
      <c r="E41" s="1"/>
      <c r="F41" s="5">
        <f t="shared" ref="F41:F56" si="16">IF(D$12=0,0,D41/D$12)</f>
        <v>0</v>
      </c>
      <c r="G41" s="1"/>
      <c r="H41" s="1">
        <f>SUM(OSRRefH22_2x_0)</f>
        <v>150</v>
      </c>
      <c r="I41" s="1"/>
      <c r="J41" s="5">
        <f t="shared" ref="J41:J56" si="17">IF(H$12=0,0,H41/H$12)</f>
        <v>0</v>
      </c>
      <c r="K41" s="1"/>
      <c r="L41" s="1">
        <f t="shared" ref="L41:L56" si="18">+D41-H41</f>
        <v>-62.239999999999995</v>
      </c>
      <c r="M41" s="1"/>
      <c r="N41" s="5">
        <f t="shared" ref="N41:N56" si="19">IF(H41=0,0,L41/H41)</f>
        <v>-0.41493333333333332</v>
      </c>
      <c r="O41" s="14"/>
      <c r="P41" s="1">
        <f>SUM(OSRRefP22_2x_0)</f>
        <v>87.76</v>
      </c>
      <c r="Q41" s="1"/>
      <c r="R41" s="5">
        <f t="shared" ref="R41:R56" si="20">IF(P$12=0,0,P41/P$12)</f>
        <v>0</v>
      </c>
      <c r="S41" s="1"/>
      <c r="T41" s="1">
        <f>SUM(OSRRefT22_2x_0)</f>
        <v>600</v>
      </c>
      <c r="U41" s="1"/>
      <c r="V41" s="5">
        <f t="shared" ref="V41:V56" si="21">IF(T$12=0,0,T41/T$12)</f>
        <v>0</v>
      </c>
      <c r="W41" s="1"/>
      <c r="X41" s="1">
        <f t="shared" ref="X41:X56" si="22">+P41-T41</f>
        <v>-512.24</v>
      </c>
      <c r="Y41" s="1"/>
      <c r="Z41" s="5">
        <f t="shared" ref="Z41:Z56" si="23">IF(T41=0,0,X41/T41)</f>
        <v>-0.85373333333333334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7">
        <v>87.76</v>
      </c>
      <c r="E42" s="2"/>
      <c r="F42" s="6">
        <f t="shared" si="16"/>
        <v>0</v>
      </c>
      <c r="G42" s="2"/>
      <c r="H42" s="7">
        <v>150</v>
      </c>
      <c r="I42" s="2"/>
      <c r="J42" s="6">
        <f t="shared" si="17"/>
        <v>0</v>
      </c>
      <c r="K42" s="2"/>
      <c r="L42" s="7">
        <f t="shared" si="18"/>
        <v>-62.239999999999995</v>
      </c>
      <c r="M42" s="2"/>
      <c r="N42" s="6">
        <f t="shared" si="19"/>
        <v>-0.41493333333333332</v>
      </c>
      <c r="O42" s="11"/>
      <c r="P42" s="7">
        <v>87.76</v>
      </c>
      <c r="Q42" s="2"/>
      <c r="R42" s="6">
        <f t="shared" si="20"/>
        <v>0</v>
      </c>
      <c r="S42" s="2"/>
      <c r="T42" s="7">
        <v>600</v>
      </c>
      <c r="U42" s="2"/>
      <c r="V42" s="6">
        <f t="shared" si="21"/>
        <v>0</v>
      </c>
      <c r="W42" s="2"/>
      <c r="X42" s="7">
        <f t="shared" si="22"/>
        <v>-512.24</v>
      </c>
      <c r="Y42" s="2"/>
      <c r="Z42" s="6">
        <f t="shared" si="23"/>
        <v>-0.85373333333333334</v>
      </c>
    </row>
    <row r="43" spans="1:26" s="28" customFormat="1" outlineLevel="1" collapsed="1" x14ac:dyDescent="0.25">
      <c r="A43" s="29"/>
      <c r="B43" s="14" t="str">
        <f>CONCATENATE("     ","Employees' Appreciation                           ")</f>
        <v xml:space="preserve">     Employees' Appreciation                           </v>
      </c>
      <c r="C43" s="14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250</v>
      </c>
      <c r="I43" s="1"/>
      <c r="J43" s="5">
        <f t="shared" si="17"/>
        <v>0</v>
      </c>
      <c r="K43" s="1"/>
      <c r="L43" s="1">
        <f t="shared" si="18"/>
        <v>-250</v>
      </c>
      <c r="M43" s="1"/>
      <c r="N43" s="5">
        <f t="shared" si="19"/>
        <v>-1</v>
      </c>
      <c r="O43" s="14"/>
      <c r="P43" s="1">
        <f>SUM(OSRRefP22_3x_0)</f>
        <v>0</v>
      </c>
      <c r="Q43" s="1"/>
      <c r="R43" s="5">
        <f t="shared" si="20"/>
        <v>0</v>
      </c>
      <c r="S43" s="1"/>
      <c r="T43" s="1">
        <f>SUM(OSRRefT22_3x_0)</f>
        <v>1000</v>
      </c>
      <c r="U43" s="1"/>
      <c r="V43" s="5">
        <f t="shared" si="21"/>
        <v>0</v>
      </c>
      <c r="W43" s="1"/>
      <c r="X43" s="1">
        <f t="shared" si="22"/>
        <v>-1000</v>
      </c>
      <c r="Y43" s="1"/>
      <c r="Z43" s="5">
        <f t="shared" si="23"/>
        <v>-1</v>
      </c>
    </row>
    <row r="44" spans="1:26" s="24" customFormat="1" hidden="1" outlineLevel="2" x14ac:dyDescent="0.25">
      <c r="A44" s="27"/>
      <c r="B44" s="11" t="str">
        <f>CONCATENATE("          ", "6277", " - ", "EMPLOYEE APPRECIATION")</f>
        <v xml:space="preserve">          6277 - EMPLOYEE APPRECIATION</v>
      </c>
      <c r="C44" s="11"/>
      <c r="D44" s="7"/>
      <c r="E44" s="2"/>
      <c r="F44" s="6">
        <f t="shared" si="16"/>
        <v>0</v>
      </c>
      <c r="G44" s="2"/>
      <c r="H44" s="7">
        <v>250</v>
      </c>
      <c r="I44" s="2"/>
      <c r="J44" s="6">
        <f t="shared" si="17"/>
        <v>0</v>
      </c>
      <c r="K44" s="2"/>
      <c r="L44" s="7">
        <f t="shared" si="18"/>
        <v>-250</v>
      </c>
      <c r="M44" s="2"/>
      <c r="N44" s="6">
        <f t="shared" si="19"/>
        <v>-1</v>
      </c>
      <c r="O44" s="11"/>
      <c r="P44" s="7"/>
      <c r="Q44" s="2"/>
      <c r="R44" s="6">
        <f t="shared" si="20"/>
        <v>0</v>
      </c>
      <c r="S44" s="2"/>
      <c r="T44" s="7">
        <v>1000</v>
      </c>
      <c r="U44" s="2"/>
      <c r="V44" s="6">
        <f t="shared" si="21"/>
        <v>0</v>
      </c>
      <c r="W44" s="2"/>
      <c r="X44" s="7">
        <f t="shared" si="22"/>
        <v>-1000</v>
      </c>
      <c r="Y44" s="2"/>
      <c r="Z44" s="6">
        <f t="shared" si="23"/>
        <v>-1</v>
      </c>
    </row>
    <row r="45" spans="1:26" s="28" customFormat="1" outlineLevel="1" collapsed="1" x14ac:dyDescent="0.25">
      <c r="A45" s="29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75</v>
      </c>
      <c r="I45" s="1"/>
      <c r="J45" s="5">
        <f t="shared" si="17"/>
        <v>0</v>
      </c>
      <c r="K45" s="1"/>
      <c r="L45" s="1">
        <f t="shared" si="18"/>
        <v>-75</v>
      </c>
      <c r="M45" s="1"/>
      <c r="N45" s="5">
        <f t="shared" si="19"/>
        <v>-1</v>
      </c>
      <c r="O45" s="14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300</v>
      </c>
      <c r="U45" s="1"/>
      <c r="V45" s="5">
        <f t="shared" si="21"/>
        <v>0</v>
      </c>
      <c r="W45" s="1"/>
      <c r="X45" s="1">
        <f t="shared" si="22"/>
        <v>-300</v>
      </c>
      <c r="Y45" s="1"/>
      <c r="Z45" s="5">
        <f t="shared" si="23"/>
        <v>-1</v>
      </c>
    </row>
    <row r="46" spans="1:26" s="24" customFormat="1" hidden="1" outlineLevel="2" x14ac:dyDescent="0.25">
      <c r="A46" s="27"/>
      <c r="B46" s="11" t="str">
        <f>CONCATENATE("          ", "6351", " - ", "EQUIPMENT RENTAL")</f>
        <v xml:space="preserve">          6351 - EQUIPMENT RENTAL</v>
      </c>
      <c r="C46" s="11"/>
      <c r="D46" s="7"/>
      <c r="E46" s="2"/>
      <c r="F46" s="6">
        <f t="shared" si="16"/>
        <v>0</v>
      </c>
      <c r="G46" s="2"/>
      <c r="H46" s="7">
        <v>75</v>
      </c>
      <c r="I46" s="2"/>
      <c r="J46" s="6">
        <f t="shared" si="17"/>
        <v>0</v>
      </c>
      <c r="K46" s="2"/>
      <c r="L46" s="7">
        <f t="shared" si="18"/>
        <v>-75</v>
      </c>
      <c r="M46" s="2"/>
      <c r="N46" s="6">
        <f t="shared" si="19"/>
        <v>-1</v>
      </c>
      <c r="O46" s="11"/>
      <c r="P46" s="7"/>
      <c r="Q46" s="2"/>
      <c r="R46" s="6">
        <f t="shared" si="20"/>
        <v>0</v>
      </c>
      <c r="S46" s="2"/>
      <c r="T46" s="7">
        <v>300</v>
      </c>
      <c r="U46" s="2"/>
      <c r="V46" s="6">
        <f t="shared" si="21"/>
        <v>0</v>
      </c>
      <c r="W46" s="2"/>
      <c r="X46" s="7">
        <f t="shared" si="22"/>
        <v>-300</v>
      </c>
      <c r="Y46" s="2"/>
      <c r="Z46" s="6">
        <f t="shared" si="23"/>
        <v>-1</v>
      </c>
    </row>
    <row r="47" spans="1:26" s="28" customFormat="1" outlineLevel="1" collapsed="1" x14ac:dyDescent="0.25">
      <c r="A47" s="29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41.38</v>
      </c>
      <c r="E47" s="1"/>
      <c r="F47" s="5">
        <f t="shared" si="16"/>
        <v>0</v>
      </c>
      <c r="G47" s="1"/>
      <c r="H47" s="1">
        <f>SUM(OSRRefH22_5x_0)</f>
        <v>0</v>
      </c>
      <c r="I47" s="1"/>
      <c r="J47" s="5">
        <f t="shared" si="17"/>
        <v>0</v>
      </c>
      <c r="K47" s="1"/>
      <c r="L47" s="1">
        <f t="shared" si="18"/>
        <v>41.38</v>
      </c>
      <c r="M47" s="1"/>
      <c r="N47" s="5">
        <f t="shared" si="19"/>
        <v>0</v>
      </c>
      <c r="O47" s="14"/>
      <c r="P47" s="1">
        <f>SUM(OSRRefP22_5x_0)</f>
        <v>169.72</v>
      </c>
      <c r="Q47" s="1"/>
      <c r="R47" s="5">
        <f t="shared" si="20"/>
        <v>0</v>
      </c>
      <c r="S47" s="1"/>
      <c r="T47" s="1">
        <f>SUM(OSRRefT22_5x_0)</f>
        <v>0</v>
      </c>
      <c r="U47" s="1"/>
      <c r="V47" s="5">
        <f t="shared" si="21"/>
        <v>0</v>
      </c>
      <c r="W47" s="1"/>
      <c r="X47" s="1">
        <f t="shared" si="22"/>
        <v>169.72</v>
      </c>
      <c r="Y47" s="1"/>
      <c r="Z47" s="5">
        <f t="shared" si="23"/>
        <v>0</v>
      </c>
    </row>
    <row r="48" spans="1:26" s="24" customFormat="1" hidden="1" outlineLevel="2" x14ac:dyDescent="0.25">
      <c r="A48" s="27"/>
      <c r="B48" s="11" t="str">
        <f>CONCATENATE("          ", "6307", " - ", "POSTAGE")</f>
        <v xml:space="preserve">          6307 - POSTAGE</v>
      </c>
      <c r="C48" s="11"/>
      <c r="D48" s="7">
        <v>41.38</v>
      </c>
      <c r="E48" s="2"/>
      <c r="F48" s="6">
        <f t="shared" si="16"/>
        <v>0</v>
      </c>
      <c r="G48" s="2"/>
      <c r="H48" s="7"/>
      <c r="I48" s="2"/>
      <c r="J48" s="6">
        <f t="shared" si="17"/>
        <v>0</v>
      </c>
      <c r="K48" s="2"/>
      <c r="L48" s="7">
        <f t="shared" si="18"/>
        <v>41.38</v>
      </c>
      <c r="M48" s="2"/>
      <c r="N48" s="6">
        <f t="shared" si="19"/>
        <v>0</v>
      </c>
      <c r="O48" s="11"/>
      <c r="P48" s="7">
        <v>169.72</v>
      </c>
      <c r="Q48" s="2"/>
      <c r="R48" s="6">
        <f t="shared" si="20"/>
        <v>0</v>
      </c>
      <c r="S48" s="2"/>
      <c r="T48" s="7"/>
      <c r="U48" s="2"/>
      <c r="V48" s="6">
        <f t="shared" si="21"/>
        <v>0</v>
      </c>
      <c r="W48" s="2"/>
      <c r="X48" s="7">
        <f t="shared" si="22"/>
        <v>169.72</v>
      </c>
      <c r="Y48" s="2"/>
      <c r="Z48" s="6">
        <f t="shared" si="23"/>
        <v>0</v>
      </c>
    </row>
    <row r="49" spans="1:26" s="28" customFormat="1" outlineLevel="1" collapsed="1" x14ac:dyDescent="0.25">
      <c r="A49" s="29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188</v>
      </c>
      <c r="E49" s="1"/>
      <c r="F49" s="5">
        <f t="shared" si="16"/>
        <v>0</v>
      </c>
      <c r="G49" s="1"/>
      <c r="H49" s="1">
        <f>SUM(OSRRefH22_6x_0)</f>
        <v>0</v>
      </c>
      <c r="I49" s="1"/>
      <c r="J49" s="5">
        <f t="shared" si="17"/>
        <v>0</v>
      </c>
      <c r="K49" s="1"/>
      <c r="L49" s="1">
        <f t="shared" si="18"/>
        <v>188</v>
      </c>
      <c r="M49" s="1"/>
      <c r="N49" s="5">
        <f t="shared" si="19"/>
        <v>0</v>
      </c>
      <c r="O49" s="14"/>
      <c r="P49" s="1">
        <f>SUM(OSRRefP22_6x_0)</f>
        <v>2308.75</v>
      </c>
      <c r="Q49" s="1"/>
      <c r="R49" s="5">
        <f t="shared" si="20"/>
        <v>0</v>
      </c>
      <c r="S49" s="1"/>
      <c r="T49" s="1">
        <f>SUM(OSRRefT22_6x_0)</f>
        <v>0</v>
      </c>
      <c r="U49" s="1"/>
      <c r="V49" s="5">
        <f t="shared" si="21"/>
        <v>0</v>
      </c>
      <c r="W49" s="1"/>
      <c r="X49" s="1">
        <f t="shared" si="22"/>
        <v>2308.75</v>
      </c>
      <c r="Y49" s="1"/>
      <c r="Z49" s="5">
        <f t="shared" si="23"/>
        <v>0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7">
        <v>188</v>
      </c>
      <c r="E50" s="2"/>
      <c r="F50" s="6">
        <f t="shared" si="16"/>
        <v>0</v>
      </c>
      <c r="G50" s="2"/>
      <c r="H50" s="7"/>
      <c r="I50" s="2"/>
      <c r="J50" s="6">
        <f t="shared" si="17"/>
        <v>0</v>
      </c>
      <c r="K50" s="2"/>
      <c r="L50" s="7">
        <f t="shared" si="18"/>
        <v>188</v>
      </c>
      <c r="M50" s="2"/>
      <c r="N50" s="6">
        <f t="shared" si="19"/>
        <v>0</v>
      </c>
      <c r="O50" s="11"/>
      <c r="P50" s="7">
        <v>2308.75</v>
      </c>
      <c r="Q50" s="2"/>
      <c r="R50" s="6">
        <f t="shared" si="20"/>
        <v>0</v>
      </c>
      <c r="S50" s="2"/>
      <c r="T50" s="7"/>
      <c r="U50" s="2"/>
      <c r="V50" s="6">
        <f t="shared" si="21"/>
        <v>0</v>
      </c>
      <c r="W50" s="2"/>
      <c r="X50" s="7">
        <f t="shared" si="22"/>
        <v>2308.75</v>
      </c>
      <c r="Y50" s="2"/>
      <c r="Z50" s="6">
        <f t="shared" si="23"/>
        <v>0</v>
      </c>
    </row>
    <row r="51" spans="1:26" s="28" customFormat="1" outlineLevel="1" collapsed="1" x14ac:dyDescent="0.25">
      <c r="A51" s="29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88.99</v>
      </c>
      <c r="E51" s="1"/>
      <c r="F51" s="5">
        <f t="shared" si="16"/>
        <v>0</v>
      </c>
      <c r="G51" s="1"/>
      <c r="H51" s="1">
        <f>SUM(OSRRefH22_7x_0)</f>
        <v>90</v>
      </c>
      <c r="I51" s="1"/>
      <c r="J51" s="5">
        <f t="shared" si="17"/>
        <v>0</v>
      </c>
      <c r="K51" s="1"/>
      <c r="L51" s="1">
        <f t="shared" si="18"/>
        <v>-1.0100000000000051</v>
      </c>
      <c r="M51" s="1"/>
      <c r="N51" s="5">
        <f t="shared" si="19"/>
        <v>-1.1222222222222279E-2</v>
      </c>
      <c r="O51" s="14"/>
      <c r="P51" s="1">
        <f>SUM(OSRRefP22_7x_0)</f>
        <v>355.96</v>
      </c>
      <c r="Q51" s="1"/>
      <c r="R51" s="5">
        <f t="shared" si="20"/>
        <v>0</v>
      </c>
      <c r="S51" s="1"/>
      <c r="T51" s="1">
        <f>SUM(OSRRefT22_7x_0)</f>
        <v>360</v>
      </c>
      <c r="U51" s="1"/>
      <c r="V51" s="5">
        <f t="shared" si="21"/>
        <v>0</v>
      </c>
      <c r="W51" s="1"/>
      <c r="X51" s="1">
        <f t="shared" si="22"/>
        <v>-4.0400000000000205</v>
      </c>
      <c r="Y51" s="1"/>
      <c r="Z51" s="5">
        <f t="shared" si="23"/>
        <v>-1.1222222222222279E-2</v>
      </c>
    </row>
    <row r="52" spans="1:26" s="24" customFormat="1" hidden="1" outlineLevel="2" x14ac:dyDescent="0.25">
      <c r="A52" s="27"/>
      <c r="B52" s="11" t="str">
        <f>CONCATENATE("          ", "6314", " - ", "LIABILITY INSURANCE")</f>
        <v xml:space="preserve">          6314 - LIABILITY INSURANCE</v>
      </c>
      <c r="C52" s="11"/>
      <c r="D52" s="7">
        <v>88.99</v>
      </c>
      <c r="E52" s="2"/>
      <c r="F52" s="6">
        <f t="shared" si="16"/>
        <v>0</v>
      </c>
      <c r="G52" s="2"/>
      <c r="H52" s="7">
        <v>90</v>
      </c>
      <c r="I52" s="2"/>
      <c r="J52" s="6">
        <f t="shared" si="17"/>
        <v>0</v>
      </c>
      <c r="K52" s="2"/>
      <c r="L52" s="7">
        <f t="shared" si="18"/>
        <v>-1.0100000000000051</v>
      </c>
      <c r="M52" s="2"/>
      <c r="N52" s="6">
        <f t="shared" si="19"/>
        <v>-1.1222222222222279E-2</v>
      </c>
      <c r="O52" s="11"/>
      <c r="P52" s="7">
        <v>355.96</v>
      </c>
      <c r="Q52" s="2"/>
      <c r="R52" s="6">
        <f t="shared" si="20"/>
        <v>0</v>
      </c>
      <c r="S52" s="2"/>
      <c r="T52" s="7">
        <v>360</v>
      </c>
      <c r="U52" s="2"/>
      <c r="V52" s="6">
        <f t="shared" si="21"/>
        <v>0</v>
      </c>
      <c r="W52" s="2"/>
      <c r="X52" s="7">
        <f t="shared" si="22"/>
        <v>-4.0400000000000205</v>
      </c>
      <c r="Y52" s="2"/>
      <c r="Z52" s="6">
        <f t="shared" si="23"/>
        <v>-1.1222222222222279E-2</v>
      </c>
    </row>
    <row r="53" spans="1:26" s="28" customFormat="1" outlineLevel="1" collapsed="1" x14ac:dyDescent="0.25">
      <c r="A53" s="29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SUM(OSRRefD22_8x_0)</f>
        <v>3410.52</v>
      </c>
      <c r="E53" s="1"/>
      <c r="F53" s="5">
        <f t="shared" si="16"/>
        <v>0</v>
      </c>
      <c r="G53" s="1"/>
      <c r="H53" s="1">
        <f>SUM(OSRRefH22_8x_0)</f>
        <v>1666</v>
      </c>
      <c r="I53" s="1"/>
      <c r="J53" s="5">
        <f t="shared" si="17"/>
        <v>0</v>
      </c>
      <c r="K53" s="1"/>
      <c r="L53" s="1">
        <f t="shared" si="18"/>
        <v>1744.52</v>
      </c>
      <c r="M53" s="1"/>
      <c r="N53" s="5">
        <f t="shared" si="19"/>
        <v>1.0471308523409364</v>
      </c>
      <c r="O53" s="14"/>
      <c r="P53" s="1">
        <f>SUM(OSRRefP22_8x_0)</f>
        <v>9614.369999999999</v>
      </c>
      <c r="Q53" s="1"/>
      <c r="R53" s="5">
        <f t="shared" si="20"/>
        <v>0</v>
      </c>
      <c r="S53" s="1"/>
      <c r="T53" s="1">
        <f>SUM(OSRRefT22_8x_0)</f>
        <v>6664</v>
      </c>
      <c r="U53" s="1"/>
      <c r="V53" s="5">
        <f t="shared" si="21"/>
        <v>0</v>
      </c>
      <c r="W53" s="1"/>
      <c r="X53" s="1">
        <f t="shared" si="22"/>
        <v>2950.369999999999</v>
      </c>
      <c r="Y53" s="1"/>
      <c r="Z53" s="5">
        <f t="shared" si="23"/>
        <v>0.44273259303721474</v>
      </c>
    </row>
    <row r="54" spans="1:26" s="24" customFormat="1" hidden="1" outlineLevel="2" x14ac:dyDescent="0.25">
      <c r="A54" s="27"/>
      <c r="B54" s="11" t="str">
        <f>CONCATENATE("          ", "6332", " - ", "CONSULTANT FEES")</f>
        <v xml:space="preserve">          6332 - CONSULTANT FEES</v>
      </c>
      <c r="C54" s="11"/>
      <c r="D54" s="7"/>
      <c r="E54" s="2"/>
      <c r="F54" s="6">
        <f t="shared" si="16"/>
        <v>0</v>
      </c>
      <c r="G54" s="2"/>
      <c r="H54" s="7">
        <v>0</v>
      </c>
      <c r="I54" s="2"/>
      <c r="J54" s="6">
        <f t="shared" si="17"/>
        <v>0</v>
      </c>
      <c r="K54" s="2"/>
      <c r="L54" s="7">
        <f t="shared" si="18"/>
        <v>0</v>
      </c>
      <c r="M54" s="2"/>
      <c r="N54" s="6">
        <f t="shared" si="19"/>
        <v>0</v>
      </c>
      <c r="O54" s="11"/>
      <c r="P54" s="7"/>
      <c r="Q54" s="2"/>
      <c r="R54" s="6">
        <f t="shared" si="20"/>
        <v>0</v>
      </c>
      <c r="S54" s="2"/>
      <c r="T54" s="7">
        <v>0</v>
      </c>
      <c r="U54" s="2"/>
      <c r="V54" s="6">
        <f t="shared" si="21"/>
        <v>0</v>
      </c>
      <c r="W54" s="2"/>
      <c r="X54" s="7">
        <f t="shared" si="22"/>
        <v>0</v>
      </c>
      <c r="Y54" s="2"/>
      <c r="Z54" s="6">
        <f t="shared" si="23"/>
        <v>0</v>
      </c>
    </row>
    <row r="55" spans="1:26" s="24" customFormat="1" hidden="1" outlineLevel="2" x14ac:dyDescent="0.25">
      <c r="A55" s="27"/>
      <c r="B55" s="11" t="str">
        <f>CONCATENATE("          ", "6334", " - ", "LEGAL COUNCIL EXPENSE")</f>
        <v xml:space="preserve">          6334 - LEGAL COUNCIL EXPENSE</v>
      </c>
      <c r="C55" s="11"/>
      <c r="D55" s="7"/>
      <c r="E55" s="2"/>
      <c r="F55" s="6">
        <f t="shared" si="16"/>
        <v>0</v>
      </c>
      <c r="G55" s="2"/>
      <c r="H55" s="7">
        <v>833</v>
      </c>
      <c r="I55" s="2"/>
      <c r="J55" s="6">
        <f t="shared" si="17"/>
        <v>0</v>
      </c>
      <c r="K55" s="2"/>
      <c r="L55" s="7">
        <f t="shared" si="18"/>
        <v>-833</v>
      </c>
      <c r="M55" s="2"/>
      <c r="N55" s="6">
        <f t="shared" si="19"/>
        <v>-1</v>
      </c>
      <c r="O55" s="11"/>
      <c r="P55" s="7">
        <v>3255</v>
      </c>
      <c r="Q55" s="2"/>
      <c r="R55" s="6">
        <f t="shared" si="20"/>
        <v>0</v>
      </c>
      <c r="S55" s="2"/>
      <c r="T55" s="7">
        <v>3332</v>
      </c>
      <c r="U55" s="2"/>
      <c r="V55" s="6">
        <f t="shared" si="21"/>
        <v>0</v>
      </c>
      <c r="W55" s="2"/>
      <c r="X55" s="7">
        <f t="shared" si="22"/>
        <v>-77</v>
      </c>
      <c r="Y55" s="2"/>
      <c r="Z55" s="6">
        <f t="shared" si="23"/>
        <v>-2.3109243697478993E-2</v>
      </c>
    </row>
    <row r="56" spans="1:26" s="24" customFormat="1" hidden="1" outlineLevel="2" x14ac:dyDescent="0.25">
      <c r="A56" s="27"/>
      <c r="B56" s="11" t="str">
        <f>CONCATENATE("          ", "6336", " - ", "PROFESSIONAL SERVICES")</f>
        <v xml:space="preserve">          6336 - PROFESSIONAL SERVICES</v>
      </c>
      <c r="C56" s="11"/>
      <c r="D56" s="7">
        <v>3410.52</v>
      </c>
      <c r="E56" s="2"/>
      <c r="F56" s="6">
        <f t="shared" si="16"/>
        <v>0</v>
      </c>
      <c r="G56" s="2"/>
      <c r="H56" s="7">
        <v>833</v>
      </c>
      <c r="I56" s="2"/>
      <c r="J56" s="6">
        <f t="shared" si="17"/>
        <v>0</v>
      </c>
      <c r="K56" s="2"/>
      <c r="L56" s="7">
        <f t="shared" si="18"/>
        <v>2577.52</v>
      </c>
      <c r="M56" s="2"/>
      <c r="N56" s="6">
        <f t="shared" si="19"/>
        <v>3.0942617046818728</v>
      </c>
      <c r="O56" s="11"/>
      <c r="P56" s="7">
        <v>6359.37</v>
      </c>
      <c r="Q56" s="2"/>
      <c r="R56" s="6">
        <f t="shared" si="20"/>
        <v>0</v>
      </c>
      <c r="S56" s="2"/>
      <c r="T56" s="7">
        <v>3332</v>
      </c>
      <c r="U56" s="2"/>
      <c r="V56" s="6">
        <f t="shared" si="21"/>
        <v>0</v>
      </c>
      <c r="W56" s="2"/>
      <c r="X56" s="7">
        <f t="shared" si="22"/>
        <v>3027.37</v>
      </c>
      <c r="Y56" s="2"/>
      <c r="Z56" s="6">
        <f t="shared" si="23"/>
        <v>0.90857442977190872</v>
      </c>
    </row>
    <row r="57" spans="1:26" s="28" customFormat="1" outlineLevel="1" collapsed="1" x14ac:dyDescent="0.25">
      <c r="A57" s="29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5962.94</v>
      </c>
      <c r="E57" s="1"/>
      <c r="F57" s="5">
        <f t="shared" ref="F57:F59" si="24">IF(D$12=0,0,D57/D$12)</f>
        <v>0</v>
      </c>
      <c r="G57" s="1"/>
      <c r="H57" s="1">
        <f>SUM(OSRRefH22_9x_0)</f>
        <v>7000</v>
      </c>
      <c r="I57" s="1"/>
      <c r="J57" s="5">
        <f t="shared" ref="J57:J59" si="25">IF(H$12=0,0,H57/H$12)</f>
        <v>0</v>
      </c>
      <c r="K57" s="1"/>
      <c r="L57" s="1">
        <f t="shared" ref="L57:L59" si="26">+D57-H57</f>
        <v>-1037.0600000000004</v>
      </c>
      <c r="M57" s="1"/>
      <c r="N57" s="5">
        <f t="shared" ref="N57:N59" si="27">IF(H57=0,0,L57/H57)</f>
        <v>-0.14815142857142863</v>
      </c>
      <c r="O57" s="14"/>
      <c r="P57" s="1">
        <f>SUM(OSRRefP22_9x_0)</f>
        <v>19756.080000000002</v>
      </c>
      <c r="Q57" s="1"/>
      <c r="R57" s="5">
        <f t="shared" ref="R57:R59" si="28">IF(P$12=0,0,P57/P$12)</f>
        <v>0</v>
      </c>
      <c r="S57" s="1"/>
      <c r="T57" s="1">
        <f>SUM(OSRRefT22_9x_0)</f>
        <v>28000</v>
      </c>
      <c r="U57" s="1"/>
      <c r="V57" s="5">
        <f t="shared" ref="V57:V59" si="29">IF(T$12=0,0,T57/T$12)</f>
        <v>0</v>
      </c>
      <c r="W57" s="1"/>
      <c r="X57" s="1">
        <f t="shared" ref="X57:X59" si="30">+P57-T57</f>
        <v>-8243.9199999999983</v>
      </c>
      <c r="Y57" s="1"/>
      <c r="Z57" s="5">
        <f t="shared" ref="Z57:Z59" si="31">IF(T57=0,0,X57/T57)</f>
        <v>-0.29442571428571424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7">
        <v>5962.94</v>
      </c>
      <c r="E58" s="2"/>
      <c r="F58" s="6">
        <f t="shared" si="24"/>
        <v>0</v>
      </c>
      <c r="G58" s="2"/>
      <c r="H58" s="7">
        <v>7000</v>
      </c>
      <c r="I58" s="2"/>
      <c r="J58" s="6">
        <f t="shared" si="25"/>
        <v>0</v>
      </c>
      <c r="K58" s="2"/>
      <c r="L58" s="7">
        <f t="shared" si="26"/>
        <v>-1037.0600000000004</v>
      </c>
      <c r="M58" s="2"/>
      <c r="N58" s="6">
        <f t="shared" si="27"/>
        <v>-0.14815142857142863</v>
      </c>
      <c r="O58" s="11"/>
      <c r="P58" s="7">
        <v>19657.490000000002</v>
      </c>
      <c r="Q58" s="2"/>
      <c r="R58" s="6">
        <f t="shared" si="28"/>
        <v>0</v>
      </c>
      <c r="S58" s="2"/>
      <c r="T58" s="7">
        <v>28000</v>
      </c>
      <c r="U58" s="2"/>
      <c r="V58" s="6">
        <f t="shared" si="29"/>
        <v>0</v>
      </c>
      <c r="W58" s="2"/>
      <c r="X58" s="7">
        <f t="shared" si="30"/>
        <v>-8342.5099999999984</v>
      </c>
      <c r="Y58" s="2"/>
      <c r="Z58" s="6">
        <f t="shared" si="31"/>
        <v>-0.29794678571428568</v>
      </c>
    </row>
    <row r="59" spans="1:26" s="24" customFormat="1" hidden="1" outlineLevel="2" x14ac:dyDescent="0.25">
      <c r="A59" s="27"/>
      <c r="B59" s="11" t="str">
        <f>CONCATENATE("          ", "6373", " - ", "MAINTENANCE CONTRACTS")</f>
        <v xml:space="preserve">          6373 - MAINTENANCE CONTRACTS</v>
      </c>
      <c r="C59" s="11"/>
      <c r="D59" s="7"/>
      <c r="E59" s="2"/>
      <c r="F59" s="6">
        <f t="shared" si="24"/>
        <v>0</v>
      </c>
      <c r="G59" s="2"/>
      <c r="H59" s="7"/>
      <c r="I59" s="2"/>
      <c r="J59" s="6">
        <f t="shared" si="25"/>
        <v>0</v>
      </c>
      <c r="K59" s="2"/>
      <c r="L59" s="7">
        <f t="shared" si="26"/>
        <v>0</v>
      </c>
      <c r="M59" s="2"/>
      <c r="N59" s="6">
        <f t="shared" si="27"/>
        <v>0</v>
      </c>
      <c r="O59" s="11"/>
      <c r="P59" s="7">
        <v>98.59</v>
      </c>
      <c r="Q59" s="2"/>
      <c r="R59" s="6">
        <f t="shared" si="28"/>
        <v>0</v>
      </c>
      <c r="S59" s="2"/>
      <c r="T59" s="7"/>
      <c r="U59" s="2"/>
      <c r="V59" s="6">
        <f t="shared" si="29"/>
        <v>0</v>
      </c>
      <c r="W59" s="2"/>
      <c r="X59" s="7">
        <f t="shared" si="30"/>
        <v>98.59</v>
      </c>
      <c r="Y59" s="2"/>
      <c r="Z59" s="6">
        <f t="shared" si="31"/>
        <v>0</v>
      </c>
    </row>
    <row r="60" spans="1:26" s="28" customFormat="1" outlineLevel="1" collapsed="1" x14ac:dyDescent="0.25">
      <c r="A60" s="29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SUM(OSRRefD22_10x_0)</f>
        <v>438</v>
      </c>
      <c r="E60" s="1"/>
      <c r="F60" s="5">
        <f t="shared" ref="F60:F66" si="32">IF(D$12=0,0,D60/D$12)</f>
        <v>0</v>
      </c>
      <c r="G60" s="1"/>
      <c r="H60" s="1">
        <f>SUM(OSRRefH22_10x_0)</f>
        <v>1000</v>
      </c>
      <c r="I60" s="1"/>
      <c r="J60" s="5">
        <f t="shared" ref="J60:J66" si="33">IF(H$12=0,0,H60/H$12)</f>
        <v>0</v>
      </c>
      <c r="K60" s="1"/>
      <c r="L60" s="1">
        <f t="shared" ref="L60:L66" si="34">+D60-H60</f>
        <v>-562</v>
      </c>
      <c r="M60" s="1"/>
      <c r="N60" s="5">
        <f t="shared" ref="N60:N66" si="35">IF(H60=0,0,L60/H60)</f>
        <v>-0.56200000000000006</v>
      </c>
      <c r="O60" s="14"/>
      <c r="P60" s="1">
        <f>SUM(OSRRefP22_10x_0)</f>
        <v>657</v>
      </c>
      <c r="Q60" s="1"/>
      <c r="R60" s="5">
        <f t="shared" ref="R60:R66" si="36">IF(P$12=0,0,P60/P$12)</f>
        <v>0</v>
      </c>
      <c r="S60" s="1"/>
      <c r="T60" s="1">
        <f>SUM(OSRRefT22_10x_0)</f>
        <v>1000</v>
      </c>
      <c r="U60" s="1"/>
      <c r="V60" s="5">
        <f t="shared" ref="V60:V66" si="37">IF(T$12=0,0,T60/T$12)</f>
        <v>0</v>
      </c>
      <c r="W60" s="1"/>
      <c r="X60" s="1">
        <f t="shared" ref="X60:X66" si="38">+P60-T60</f>
        <v>-343</v>
      </c>
      <c r="Y60" s="1"/>
      <c r="Z60" s="5">
        <f t="shared" ref="Z60:Z66" si="39">IF(T60=0,0,X60/T60)</f>
        <v>-0.34300000000000003</v>
      </c>
    </row>
    <row r="61" spans="1:26" s="24" customFormat="1" hidden="1" outlineLevel="2" x14ac:dyDescent="0.25">
      <c r="A61" s="27"/>
      <c r="B61" s="11" t="str">
        <f>CONCATENATE("          ", "6258", " - ", "MEMBERSHIP DUES")</f>
        <v xml:space="preserve">          6258 - MEMBERSHIP DUES</v>
      </c>
      <c r="C61" s="11"/>
      <c r="D61" s="7">
        <v>438</v>
      </c>
      <c r="E61" s="2"/>
      <c r="F61" s="6">
        <f t="shared" si="32"/>
        <v>0</v>
      </c>
      <c r="G61" s="2"/>
      <c r="H61" s="7">
        <v>1000</v>
      </c>
      <c r="I61" s="2"/>
      <c r="J61" s="6">
        <f t="shared" si="33"/>
        <v>0</v>
      </c>
      <c r="K61" s="2"/>
      <c r="L61" s="7">
        <f t="shared" si="34"/>
        <v>-562</v>
      </c>
      <c r="M61" s="2"/>
      <c r="N61" s="6">
        <f t="shared" si="35"/>
        <v>-0.56200000000000006</v>
      </c>
      <c r="O61" s="11"/>
      <c r="P61" s="7">
        <v>657</v>
      </c>
      <c r="Q61" s="2"/>
      <c r="R61" s="6">
        <f t="shared" si="36"/>
        <v>0</v>
      </c>
      <c r="S61" s="2"/>
      <c r="T61" s="7">
        <v>1000</v>
      </c>
      <c r="U61" s="2"/>
      <c r="V61" s="6">
        <f t="shared" si="37"/>
        <v>0</v>
      </c>
      <c r="W61" s="2"/>
      <c r="X61" s="7">
        <f t="shared" si="38"/>
        <v>-343</v>
      </c>
      <c r="Y61" s="2"/>
      <c r="Z61" s="6">
        <f t="shared" si="39"/>
        <v>-0.34300000000000003</v>
      </c>
    </row>
    <row r="62" spans="1:26" s="28" customFormat="1" outlineLevel="1" collapsed="1" x14ac:dyDescent="0.25">
      <c r="A62" s="29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SUM(OSRRefD22_11x_0)</f>
        <v>1896.1100000000001</v>
      </c>
      <c r="E62" s="1"/>
      <c r="F62" s="5">
        <f t="shared" si="32"/>
        <v>0</v>
      </c>
      <c r="G62" s="1"/>
      <c r="H62" s="1">
        <f>SUM(OSRRefH22_11x_0)</f>
        <v>1834</v>
      </c>
      <c r="I62" s="1"/>
      <c r="J62" s="5">
        <f t="shared" si="33"/>
        <v>0</v>
      </c>
      <c r="K62" s="1"/>
      <c r="L62" s="1">
        <f t="shared" si="34"/>
        <v>62.110000000000127</v>
      </c>
      <c r="M62" s="1"/>
      <c r="N62" s="5">
        <f t="shared" si="35"/>
        <v>3.3865866957470084E-2</v>
      </c>
      <c r="O62" s="14"/>
      <c r="P62" s="1">
        <f>SUM(OSRRefP22_11x_0)</f>
        <v>6735.29</v>
      </c>
      <c r="Q62" s="1"/>
      <c r="R62" s="5">
        <f t="shared" si="36"/>
        <v>0</v>
      </c>
      <c r="S62" s="1"/>
      <c r="T62" s="1">
        <f>SUM(OSRRefT22_11x_0)</f>
        <v>7336</v>
      </c>
      <c r="U62" s="1"/>
      <c r="V62" s="5">
        <f t="shared" si="37"/>
        <v>0</v>
      </c>
      <c r="W62" s="1"/>
      <c r="X62" s="1">
        <f t="shared" si="38"/>
        <v>-600.71</v>
      </c>
      <c r="Y62" s="1"/>
      <c r="Z62" s="5">
        <f t="shared" si="39"/>
        <v>-8.1885223555070885E-2</v>
      </c>
    </row>
    <row r="63" spans="1:26" s="24" customFormat="1" hidden="1" outlineLevel="2" x14ac:dyDescent="0.25">
      <c r="A63" s="27"/>
      <c r="B63" s="11" t="str">
        <f>CONCATENATE("          ", "6235", " - ", "COVID-19 EXPENSES")</f>
        <v xml:space="preserve">          6235 - COVID-19 EXPENSES</v>
      </c>
      <c r="C63" s="11"/>
      <c r="D63" s="7"/>
      <c r="E63" s="2"/>
      <c r="F63" s="6">
        <f t="shared" si="32"/>
        <v>0</v>
      </c>
      <c r="G63" s="2"/>
      <c r="H63" s="7"/>
      <c r="I63" s="2"/>
      <c r="J63" s="6">
        <f t="shared" si="33"/>
        <v>0</v>
      </c>
      <c r="K63" s="2"/>
      <c r="L63" s="7">
        <f t="shared" si="34"/>
        <v>0</v>
      </c>
      <c r="M63" s="2"/>
      <c r="N63" s="6">
        <f t="shared" si="35"/>
        <v>0</v>
      </c>
      <c r="O63" s="11"/>
      <c r="P63" s="7">
        <v>2447.77</v>
      </c>
      <c r="Q63" s="2"/>
      <c r="R63" s="6">
        <f t="shared" si="36"/>
        <v>0</v>
      </c>
      <c r="S63" s="2"/>
      <c r="T63" s="7"/>
      <c r="U63" s="2"/>
      <c r="V63" s="6">
        <f t="shared" si="37"/>
        <v>0</v>
      </c>
      <c r="W63" s="2"/>
      <c r="X63" s="7">
        <f t="shared" si="38"/>
        <v>2447.77</v>
      </c>
      <c r="Y63" s="2"/>
      <c r="Z63" s="6">
        <f t="shared" si="39"/>
        <v>0</v>
      </c>
    </row>
    <row r="64" spans="1:26" s="24" customFormat="1" hidden="1" outlineLevel="2" x14ac:dyDescent="0.25">
      <c r="A64" s="27"/>
      <c r="B64" s="11" t="str">
        <f>CONCATENATE("          ", "6241", " - ", "OFFICE EXPENSE")</f>
        <v xml:space="preserve">          6241 - OFFICE EXPENSE</v>
      </c>
      <c r="C64" s="11"/>
      <c r="D64" s="7">
        <v>148.11000000000001</v>
      </c>
      <c r="E64" s="2"/>
      <c r="F64" s="6">
        <f t="shared" si="32"/>
        <v>0</v>
      </c>
      <c r="G64" s="2"/>
      <c r="H64" s="7">
        <v>1417</v>
      </c>
      <c r="I64" s="2"/>
      <c r="J64" s="6">
        <f t="shared" si="33"/>
        <v>0</v>
      </c>
      <c r="K64" s="2"/>
      <c r="L64" s="7">
        <f t="shared" si="34"/>
        <v>-1268.8899999999999</v>
      </c>
      <c r="M64" s="2"/>
      <c r="N64" s="6">
        <f t="shared" si="35"/>
        <v>-0.8954763585038813</v>
      </c>
      <c r="O64" s="11"/>
      <c r="P64" s="7">
        <v>952.83</v>
      </c>
      <c r="Q64" s="2"/>
      <c r="R64" s="6">
        <f t="shared" si="36"/>
        <v>0</v>
      </c>
      <c r="S64" s="2"/>
      <c r="T64" s="7">
        <v>5668</v>
      </c>
      <c r="U64" s="2"/>
      <c r="V64" s="6">
        <f t="shared" si="37"/>
        <v>0</v>
      </c>
      <c r="W64" s="2"/>
      <c r="X64" s="7">
        <f t="shared" si="38"/>
        <v>-4715.17</v>
      </c>
      <c r="Y64" s="2"/>
      <c r="Z64" s="6">
        <f t="shared" si="39"/>
        <v>-0.83189308398023998</v>
      </c>
    </row>
    <row r="65" spans="1:26" s="24" customFormat="1" hidden="1" outlineLevel="2" x14ac:dyDescent="0.25">
      <c r="A65" s="27"/>
      <c r="B65" s="11" t="str">
        <f>CONCATENATE("          ", "6244", " - ", "SAFETY SUPPLY EXPENSE")</f>
        <v xml:space="preserve">          6244 - SAFETY SUPPLY EXPENSE</v>
      </c>
      <c r="C65" s="11"/>
      <c r="D65" s="7">
        <v>175</v>
      </c>
      <c r="E65" s="2"/>
      <c r="F65" s="6">
        <f t="shared" si="32"/>
        <v>0</v>
      </c>
      <c r="G65" s="2"/>
      <c r="H65" s="7">
        <v>417</v>
      </c>
      <c r="I65" s="2"/>
      <c r="J65" s="6">
        <f t="shared" si="33"/>
        <v>0</v>
      </c>
      <c r="K65" s="2"/>
      <c r="L65" s="7">
        <f t="shared" si="34"/>
        <v>-242</v>
      </c>
      <c r="M65" s="2"/>
      <c r="N65" s="6">
        <f t="shared" si="35"/>
        <v>-0.58033573141486805</v>
      </c>
      <c r="O65" s="11"/>
      <c r="P65" s="7">
        <v>550</v>
      </c>
      <c r="Q65" s="2"/>
      <c r="R65" s="6">
        <f t="shared" si="36"/>
        <v>0</v>
      </c>
      <c r="S65" s="2"/>
      <c r="T65" s="7">
        <v>1668</v>
      </c>
      <c r="U65" s="2"/>
      <c r="V65" s="6">
        <f t="shared" si="37"/>
        <v>0</v>
      </c>
      <c r="W65" s="2"/>
      <c r="X65" s="7">
        <f t="shared" si="38"/>
        <v>-1118</v>
      </c>
      <c r="Y65" s="2"/>
      <c r="Z65" s="6">
        <f t="shared" si="39"/>
        <v>-0.67026378896882499</v>
      </c>
    </row>
    <row r="66" spans="1:26" s="24" customFormat="1" hidden="1" outlineLevel="2" x14ac:dyDescent="0.25">
      <c r="A66" s="27"/>
      <c r="B66" s="11" t="str">
        <f>CONCATENATE("          ", "6248", " - ", "UNIFORMS")</f>
        <v xml:space="preserve">          6248 - UNIFORMS</v>
      </c>
      <c r="C66" s="11"/>
      <c r="D66" s="7">
        <v>1573</v>
      </c>
      <c r="E66" s="2"/>
      <c r="F66" s="6">
        <f t="shared" si="32"/>
        <v>0</v>
      </c>
      <c r="G66" s="2"/>
      <c r="H66" s="7"/>
      <c r="I66" s="2"/>
      <c r="J66" s="6">
        <f t="shared" si="33"/>
        <v>0</v>
      </c>
      <c r="K66" s="2"/>
      <c r="L66" s="7">
        <f t="shared" si="34"/>
        <v>1573</v>
      </c>
      <c r="M66" s="2"/>
      <c r="N66" s="6">
        <f t="shared" si="35"/>
        <v>0</v>
      </c>
      <c r="O66" s="11"/>
      <c r="P66" s="7">
        <v>2784.69</v>
      </c>
      <c r="Q66" s="2"/>
      <c r="R66" s="6">
        <f t="shared" si="36"/>
        <v>0</v>
      </c>
      <c r="S66" s="2"/>
      <c r="T66" s="7"/>
      <c r="U66" s="2"/>
      <c r="V66" s="6">
        <f t="shared" si="37"/>
        <v>0</v>
      </c>
      <c r="W66" s="2"/>
      <c r="X66" s="7">
        <f t="shared" si="38"/>
        <v>2784.69</v>
      </c>
      <c r="Y66" s="2"/>
      <c r="Z66" s="6">
        <f t="shared" si="39"/>
        <v>0</v>
      </c>
    </row>
    <row r="67" spans="1:26" s="28" customFormat="1" outlineLevel="1" collapsed="1" x14ac:dyDescent="0.25">
      <c r="A67" s="29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892.75</v>
      </c>
      <c r="E67" s="1"/>
      <c r="F67" s="5">
        <f t="shared" ref="F67:F70" si="40">IF(D$12=0,0,D67/D$12)</f>
        <v>0</v>
      </c>
      <c r="G67" s="1"/>
      <c r="H67" s="1">
        <f>SUM(OSRRefH22_12x_0)</f>
        <v>283</v>
      </c>
      <c r="I67" s="1"/>
      <c r="J67" s="5">
        <f t="shared" ref="J67:J70" si="41">IF(H$12=0,0,H67/H$12)</f>
        <v>0</v>
      </c>
      <c r="K67" s="1"/>
      <c r="L67" s="1">
        <f t="shared" ref="L67:L70" si="42">+D67-H67</f>
        <v>609.75</v>
      </c>
      <c r="M67" s="1"/>
      <c r="N67" s="5">
        <f t="shared" ref="N67:N70" si="43">IF(H67=0,0,L67/H67)</f>
        <v>2.1545936395759719</v>
      </c>
      <c r="O67" s="14"/>
      <c r="P67" s="1">
        <f>SUM(OSRRefP22_12x_0)</f>
        <v>1960.05</v>
      </c>
      <c r="Q67" s="1"/>
      <c r="R67" s="5">
        <f t="shared" ref="R67:R70" si="44">IF(P$12=0,0,P67/P$12)</f>
        <v>0</v>
      </c>
      <c r="S67" s="1"/>
      <c r="T67" s="1">
        <f>SUM(OSRRefT22_12x_0)</f>
        <v>1132</v>
      </c>
      <c r="U67" s="1"/>
      <c r="V67" s="5">
        <f t="shared" ref="V67:V70" si="45">IF(T$12=0,0,T67/T$12)</f>
        <v>0</v>
      </c>
      <c r="W67" s="1"/>
      <c r="X67" s="1">
        <f t="shared" ref="X67:X70" si="46">+P67-T67</f>
        <v>828.05</v>
      </c>
      <c r="Y67" s="1"/>
      <c r="Z67" s="5">
        <f t="shared" ref="Z67:Z70" si="47">IF(T67=0,0,X67/T67)</f>
        <v>0.73149293286219075</v>
      </c>
    </row>
    <row r="68" spans="1:26" s="24" customFormat="1" hidden="1" outlineLevel="2" x14ac:dyDescent="0.25">
      <c r="A68" s="27"/>
      <c r="B68" s="11" t="str">
        <f>CONCATENATE("          ", "6309", " - ", "TELEPHONE")</f>
        <v xml:space="preserve">          6309 - TELEPHONE</v>
      </c>
      <c r="C68" s="11"/>
      <c r="D68" s="7">
        <v>892.75</v>
      </c>
      <c r="E68" s="2"/>
      <c r="F68" s="6">
        <f t="shared" si="40"/>
        <v>0</v>
      </c>
      <c r="G68" s="2"/>
      <c r="H68" s="7">
        <v>283</v>
      </c>
      <c r="I68" s="2"/>
      <c r="J68" s="6">
        <f t="shared" si="41"/>
        <v>0</v>
      </c>
      <c r="K68" s="2"/>
      <c r="L68" s="7">
        <f t="shared" si="42"/>
        <v>609.75</v>
      </c>
      <c r="M68" s="2"/>
      <c r="N68" s="6">
        <f t="shared" si="43"/>
        <v>2.1545936395759719</v>
      </c>
      <c r="O68" s="11"/>
      <c r="P68" s="7">
        <v>1960.05</v>
      </c>
      <c r="Q68" s="2"/>
      <c r="R68" s="6">
        <f t="shared" si="44"/>
        <v>0</v>
      </c>
      <c r="S68" s="2"/>
      <c r="T68" s="7">
        <v>1132</v>
      </c>
      <c r="U68" s="2"/>
      <c r="V68" s="6">
        <f t="shared" si="45"/>
        <v>0</v>
      </c>
      <c r="W68" s="2"/>
      <c r="X68" s="7">
        <f t="shared" si="46"/>
        <v>828.05</v>
      </c>
      <c r="Y68" s="2"/>
      <c r="Z68" s="6">
        <f t="shared" si="47"/>
        <v>0.73149293286219075</v>
      </c>
    </row>
    <row r="69" spans="1:26" s="28" customFormat="1" outlineLevel="1" collapsed="1" x14ac:dyDescent="0.25">
      <c r="A69" s="29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475</v>
      </c>
      <c r="E69" s="1"/>
      <c r="F69" s="5">
        <f t="shared" si="40"/>
        <v>0</v>
      </c>
      <c r="G69" s="1"/>
      <c r="H69" s="1">
        <f>SUM(OSRRefH22_13x_0)</f>
        <v>333</v>
      </c>
      <c r="I69" s="1"/>
      <c r="J69" s="5">
        <f t="shared" si="41"/>
        <v>0</v>
      </c>
      <c r="K69" s="1"/>
      <c r="L69" s="1">
        <f t="shared" si="42"/>
        <v>142</v>
      </c>
      <c r="M69" s="1"/>
      <c r="N69" s="5">
        <f t="shared" si="43"/>
        <v>0.42642642642642642</v>
      </c>
      <c r="O69" s="14"/>
      <c r="P69" s="1">
        <f>SUM(OSRRefP22_13x_0)</f>
        <v>475</v>
      </c>
      <c r="Q69" s="1"/>
      <c r="R69" s="5">
        <f t="shared" si="44"/>
        <v>0</v>
      </c>
      <c r="S69" s="1"/>
      <c r="T69" s="1">
        <f>SUM(OSRRefT22_13x_0)</f>
        <v>1332</v>
      </c>
      <c r="U69" s="1"/>
      <c r="V69" s="5">
        <f t="shared" si="45"/>
        <v>0</v>
      </c>
      <c r="W69" s="1"/>
      <c r="X69" s="1">
        <f t="shared" si="46"/>
        <v>-857</v>
      </c>
      <c r="Y69" s="1"/>
      <c r="Z69" s="5">
        <f t="shared" si="47"/>
        <v>-0.64339339339339341</v>
      </c>
    </row>
    <row r="70" spans="1:26" s="24" customFormat="1" hidden="1" outlineLevel="2" x14ac:dyDescent="0.25">
      <c r="A70" s="27"/>
      <c r="B70" s="11" t="str">
        <f>CONCATENATE("          ", "6376", " - ", "TRAINING")</f>
        <v xml:space="preserve">          6376 - TRAINING</v>
      </c>
      <c r="C70" s="11"/>
      <c r="D70" s="7">
        <v>475</v>
      </c>
      <c r="E70" s="2"/>
      <c r="F70" s="6">
        <f t="shared" si="40"/>
        <v>0</v>
      </c>
      <c r="G70" s="2"/>
      <c r="H70" s="7">
        <v>333</v>
      </c>
      <c r="I70" s="2"/>
      <c r="J70" s="6">
        <f t="shared" si="41"/>
        <v>0</v>
      </c>
      <c r="K70" s="2"/>
      <c r="L70" s="7">
        <f t="shared" si="42"/>
        <v>142</v>
      </c>
      <c r="M70" s="2"/>
      <c r="N70" s="6">
        <f t="shared" si="43"/>
        <v>0.42642642642642642</v>
      </c>
      <c r="O70" s="11"/>
      <c r="P70" s="7">
        <v>475</v>
      </c>
      <c r="Q70" s="2"/>
      <c r="R70" s="6">
        <f t="shared" si="44"/>
        <v>0</v>
      </c>
      <c r="S70" s="2"/>
      <c r="T70" s="7">
        <v>1332</v>
      </c>
      <c r="U70" s="2"/>
      <c r="V70" s="6">
        <f t="shared" si="45"/>
        <v>0</v>
      </c>
      <c r="W70" s="2"/>
      <c r="X70" s="7">
        <f t="shared" si="46"/>
        <v>-857</v>
      </c>
      <c r="Y70" s="2"/>
      <c r="Z70" s="6">
        <f t="shared" si="47"/>
        <v>-0.64339339339339341</v>
      </c>
    </row>
    <row r="71" spans="1:26" s="60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5" t="s">
        <v>293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6" t="s">
        <v>277</v>
      </c>
      <c r="C74" s="26"/>
      <c r="D74" s="21">
        <f>+D16-D18+D72</f>
        <v>-63484.42</v>
      </c>
      <c r="E74" s="13"/>
      <c r="F74" s="20">
        <f>IF(D$12=0,0,D74/D$12)</f>
        <v>0</v>
      </c>
      <c r="G74" s="13"/>
      <c r="H74" s="21">
        <f>+H16-H18+H72</f>
        <v>-55242.831462107686</v>
      </c>
      <c r="I74" s="13"/>
      <c r="J74" s="20">
        <f>IF(H$12=0,0,H74/H$12)</f>
        <v>0</v>
      </c>
      <c r="K74" s="15"/>
      <c r="L74" s="21">
        <f>+D74-H74</f>
        <v>-8241.5885378923122</v>
      </c>
      <c r="M74" s="15"/>
      <c r="N74" s="20">
        <f>IF(H74=0,0,L74/H74)</f>
        <v>0.14918838009860891</v>
      </c>
      <c r="O74" s="25"/>
      <c r="P74" s="21">
        <f>+P16-P18+P72</f>
        <v>-217212.36999999994</v>
      </c>
      <c r="Q74" s="13"/>
      <c r="R74" s="20">
        <f>IF(P$12=0,0,P74/P$12)</f>
        <v>0</v>
      </c>
      <c r="S74" s="13"/>
      <c r="T74" s="21">
        <f>+T16-T18+T72</f>
        <v>-202184.19326358769</v>
      </c>
      <c r="U74" s="13"/>
      <c r="V74" s="20">
        <f>IF(T$12=0,0,T74/T$12)</f>
        <v>0</v>
      </c>
      <c r="W74" s="15"/>
      <c r="X74" s="21">
        <f>+P74-T74</f>
        <v>-15028.17673641225</v>
      </c>
      <c r="Y74" s="15"/>
      <c r="Z74" s="20">
        <f>IF(T74=0,0,X74/T74)</f>
        <v>7.4329137673092002E-2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128</v>
      </c>
      <c r="C76" s="10"/>
      <c r="D76" s="4"/>
      <c r="E76" s="4"/>
      <c r="F76" s="12">
        <f>IF(D$12=0,0,D76/D$12)</f>
        <v>0</v>
      </c>
      <c r="G76" s="4"/>
      <c r="H76" s="4"/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/>
      <c r="Q76" s="4"/>
      <c r="R76" s="12">
        <f>IF(P$12=0,0,P76/P$12)</f>
        <v>0</v>
      </c>
      <c r="S76" s="4"/>
      <c r="T76" s="4"/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6" t="s">
        <v>126</v>
      </c>
      <c r="C78" s="26"/>
      <c r="D78" s="31">
        <f>+D74-D76</f>
        <v>-63484.42</v>
      </c>
      <c r="E78" s="13"/>
      <c r="F78" s="33">
        <f>IF(D$12=0,0,D78/D$12)</f>
        <v>0</v>
      </c>
      <c r="G78" s="13"/>
      <c r="H78" s="31">
        <f>+H74-H76</f>
        <v>-55242.831462107686</v>
      </c>
      <c r="I78" s="13"/>
      <c r="J78" s="33">
        <f>IF(H$12=0,0,H78/H$12)</f>
        <v>0</v>
      </c>
      <c r="K78" s="15"/>
      <c r="L78" s="31">
        <f>D78-H78</f>
        <v>-8241.5885378923122</v>
      </c>
      <c r="M78" s="15"/>
      <c r="N78" s="33">
        <f>IF(H78=0,0,L78/H78)</f>
        <v>0.14918838009860891</v>
      </c>
      <c r="O78" s="25"/>
      <c r="P78" s="31">
        <f>+P74-P76</f>
        <v>-217212.36999999994</v>
      </c>
      <c r="Q78" s="13"/>
      <c r="R78" s="33">
        <f>IF(P$12=0,0,P78/P$12)</f>
        <v>0</v>
      </c>
      <c r="S78" s="13"/>
      <c r="T78" s="31">
        <f>+T74-T76</f>
        <v>-202184.19326358769</v>
      </c>
      <c r="U78" s="13"/>
      <c r="V78" s="33">
        <f>IF(T$12=0,0,T78/T$12)</f>
        <v>0</v>
      </c>
      <c r="W78" s="15"/>
      <c r="X78" s="31">
        <f>P78-T78</f>
        <v>-15028.17673641225</v>
      </c>
      <c r="Y78" s="15"/>
      <c r="Z78" s="33">
        <f>IF(T78=0,0,X78/T78)</f>
        <v>7.4329137673092002E-2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6" t="s">
        <v>294</v>
      </c>
      <c r="C81" s="26"/>
      <c r="D81" s="35">
        <f>SUM(D78:D80)</f>
        <v>-63484.42</v>
      </c>
      <c r="E81" s="13"/>
      <c r="F81" s="32">
        <f>IF(D$12=0,0,D81/D$12)</f>
        <v>0</v>
      </c>
      <c r="G81" s="13"/>
      <c r="H81" s="35">
        <f>SUM(H78:H80)</f>
        <v>-55242.831462107686</v>
      </c>
      <c r="I81" s="13"/>
      <c r="J81" s="32">
        <f>IF(H$12=0,0,H81/H$12)</f>
        <v>0</v>
      </c>
      <c r="K81" s="15"/>
      <c r="L81" s="35">
        <f>+D81-H81</f>
        <v>-8241.5885378923122</v>
      </c>
      <c r="M81" s="15"/>
      <c r="N81" s="32">
        <f>IF(H81=0,0,L81/H81)</f>
        <v>0.14918838009860891</v>
      </c>
      <c r="O81" s="25"/>
      <c r="P81" s="35">
        <f>SUM(P78:P80)</f>
        <v>-217212.36999999994</v>
      </c>
      <c r="Q81" s="13"/>
      <c r="R81" s="32">
        <f>IF(P$12=0,0,P81/P$12)</f>
        <v>0</v>
      </c>
      <c r="S81" s="13"/>
      <c r="T81" s="35">
        <f>SUM(T78:T80)</f>
        <v>-202184.19326358769</v>
      </c>
      <c r="U81" s="13"/>
      <c r="V81" s="32">
        <f>IF(T$12=0,0,T81/T$12)</f>
        <v>0</v>
      </c>
      <c r="W81" s="15"/>
      <c r="X81" s="35">
        <f>+P81-T81</f>
        <v>-15028.17673641225</v>
      </c>
      <c r="Y81" s="15"/>
      <c r="Z81" s="32">
        <f>IF(T81=0,0,X81/T81)</f>
        <v>7.4329137673092002E-2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6" x14ac:dyDescent="0.25">
      <c r="A83" s="9"/>
      <c r="B83" s="59">
        <v>44517.962875613426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62" t="s">
        <v>56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7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","204", " - ", "Information Technology")</f>
        <v>Department 204 - Information Technology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49361.08</v>
      </c>
      <c r="E18" s="22"/>
      <c r="F18" s="34">
        <f t="shared" ref="F18:F28" si="0">IF(D$12=0,0,D18/D$12)</f>
        <v>0</v>
      </c>
      <c r="G18" s="22"/>
      <c r="H18" s="22">
        <f>SUM(OSRRefH22x_0)</f>
        <v>53034.082559230737</v>
      </c>
      <c r="I18" s="22"/>
      <c r="J18" s="34">
        <f t="shared" ref="J18:J28" si="1">IF(H$12=0,0,H18/H$12)</f>
        <v>0</v>
      </c>
      <c r="K18" s="4"/>
      <c r="L18" s="22">
        <f t="shared" ref="L18:L28" si="2">+D18-H18</f>
        <v>-3673.0025592307356</v>
      </c>
      <c r="M18" s="4"/>
      <c r="N18" s="34">
        <f t="shared" ref="N18:N28" si="3">IF(H18=0,0,L18/H18)</f>
        <v>-6.9257397921960256E-2</v>
      </c>
      <c r="O18" s="10"/>
      <c r="P18" s="22">
        <f>SUM(OSRRefP22x_0)</f>
        <v>182670.56999999998</v>
      </c>
      <c r="Q18" s="22"/>
      <c r="R18" s="34">
        <f t="shared" ref="R18:R28" si="4">IF(P$12=0,0,P18/P$12)</f>
        <v>0</v>
      </c>
      <c r="S18" s="22"/>
      <c r="T18" s="22">
        <f>SUM(OSRRefT22x_0)</f>
        <v>210344.49721323067</v>
      </c>
      <c r="U18" s="22"/>
      <c r="V18" s="34">
        <f t="shared" ref="V18:V28" si="5">IF(T$12=0,0,T18/T$12)</f>
        <v>0</v>
      </c>
      <c r="W18" s="4"/>
      <c r="X18" s="22">
        <f t="shared" ref="X18:X28" si="6">+P18-T18</f>
        <v>-27673.927213230694</v>
      </c>
      <c r="Y18" s="4"/>
      <c r="Z18" s="34">
        <f t="shared" ref="Z18:Z28" si="7">IF(T18=0,0,X18/T18)</f>
        <v>-0.13156477863633889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12876.02</v>
      </c>
      <c r="E19" s="1"/>
      <c r="F19" s="5">
        <f t="shared" si="0"/>
        <v>0</v>
      </c>
      <c r="G19" s="1"/>
      <c r="H19" s="1">
        <f>SUM(OSRRefH22_0x_0)</f>
        <v>12494.121020769242</v>
      </c>
      <c r="I19" s="1"/>
      <c r="J19" s="5">
        <f t="shared" si="1"/>
        <v>0</v>
      </c>
      <c r="K19" s="1"/>
      <c r="L19" s="1">
        <f t="shared" si="2"/>
        <v>381.89897923075841</v>
      </c>
      <c r="M19" s="1"/>
      <c r="N19" s="5">
        <f t="shared" si="3"/>
        <v>3.0566294227174495E-2</v>
      </c>
      <c r="O19" s="14"/>
      <c r="P19" s="1">
        <f>SUM(OSRRefP22_0x_0)</f>
        <v>45169.11</v>
      </c>
      <c r="Q19" s="1"/>
      <c r="R19" s="5">
        <f t="shared" si="4"/>
        <v>0</v>
      </c>
      <c r="S19" s="1"/>
      <c r="T19" s="1">
        <f>SUM(OSRRefT22_0x_0)</f>
        <v>47233.235674769276</v>
      </c>
      <c r="U19" s="1"/>
      <c r="V19" s="5">
        <f t="shared" si="5"/>
        <v>0</v>
      </c>
      <c r="W19" s="1"/>
      <c r="X19" s="1">
        <f t="shared" si="6"/>
        <v>-2064.1256747692751</v>
      </c>
      <c r="Y19" s="1"/>
      <c r="Z19" s="5">
        <f t="shared" si="7"/>
        <v>-4.370070449930822E-2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2134.3200000000002</v>
      </c>
      <c r="E20" s="2"/>
      <c r="F20" s="6">
        <f t="shared" si="0"/>
        <v>0</v>
      </c>
      <c r="G20" s="2"/>
      <c r="H20" s="7">
        <v>2263.5160361538501</v>
      </c>
      <c r="I20" s="2"/>
      <c r="J20" s="6">
        <f t="shared" si="1"/>
        <v>0</v>
      </c>
      <c r="K20" s="2"/>
      <c r="L20" s="7">
        <f t="shared" si="2"/>
        <v>-129.19603615384995</v>
      </c>
      <c r="M20" s="2"/>
      <c r="N20" s="6">
        <f t="shared" si="3"/>
        <v>-5.7077588181517327E-2</v>
      </c>
      <c r="O20" s="11"/>
      <c r="P20" s="7">
        <v>6368.52</v>
      </c>
      <c r="Q20" s="2"/>
      <c r="R20" s="6">
        <f t="shared" si="4"/>
        <v>0</v>
      </c>
      <c r="S20" s="2"/>
      <c r="T20" s="7">
        <v>8148.65773015386</v>
      </c>
      <c r="U20" s="2"/>
      <c r="V20" s="6">
        <f t="shared" si="5"/>
        <v>0</v>
      </c>
      <c r="W20" s="2"/>
      <c r="X20" s="7">
        <f t="shared" si="6"/>
        <v>-1780.1377301538596</v>
      </c>
      <c r="Y20" s="2"/>
      <c r="Z20" s="6">
        <f t="shared" si="7"/>
        <v>-0.21845778643598124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359.9</v>
      </c>
      <c r="E21" s="2"/>
      <c r="F21" s="6">
        <f t="shared" si="0"/>
        <v>0</v>
      </c>
      <c r="G21" s="2"/>
      <c r="H21" s="7">
        <v>91.688223076923094</v>
      </c>
      <c r="I21" s="2"/>
      <c r="J21" s="6">
        <f t="shared" si="1"/>
        <v>0</v>
      </c>
      <c r="K21" s="2"/>
      <c r="L21" s="7">
        <f t="shared" si="2"/>
        <v>268.21177692307685</v>
      </c>
      <c r="M21" s="2"/>
      <c r="N21" s="6">
        <f t="shared" si="3"/>
        <v>2.925258751039999</v>
      </c>
      <c r="O21" s="11"/>
      <c r="P21" s="7">
        <v>1073.9100000000001</v>
      </c>
      <c r="Q21" s="2"/>
      <c r="R21" s="6">
        <f t="shared" si="4"/>
        <v>0</v>
      </c>
      <c r="S21" s="2"/>
      <c r="T21" s="7">
        <v>330.07760307692303</v>
      </c>
      <c r="U21" s="2"/>
      <c r="V21" s="6">
        <f t="shared" si="5"/>
        <v>0</v>
      </c>
      <c r="W21" s="2"/>
      <c r="X21" s="7">
        <f t="shared" si="6"/>
        <v>743.83239692307711</v>
      </c>
      <c r="Y21" s="2"/>
      <c r="Z21" s="6">
        <f t="shared" si="7"/>
        <v>2.2535076296883143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4833.2700000000004</v>
      </c>
      <c r="E22" s="2"/>
      <c r="F22" s="6">
        <f t="shared" si="0"/>
        <v>0</v>
      </c>
      <c r="G22" s="2"/>
      <c r="H22" s="7">
        <v>5336</v>
      </c>
      <c r="I22" s="2"/>
      <c r="J22" s="6">
        <f t="shared" si="1"/>
        <v>0</v>
      </c>
      <c r="K22" s="2"/>
      <c r="L22" s="7">
        <f t="shared" si="2"/>
        <v>-502.72999999999956</v>
      </c>
      <c r="M22" s="2"/>
      <c r="N22" s="6">
        <f t="shared" si="3"/>
        <v>-9.4214767616191825E-2</v>
      </c>
      <c r="O22" s="11"/>
      <c r="P22" s="7">
        <v>19366.830000000002</v>
      </c>
      <c r="Q22" s="2"/>
      <c r="R22" s="6">
        <f t="shared" si="4"/>
        <v>0</v>
      </c>
      <c r="S22" s="2"/>
      <c r="T22" s="7">
        <v>21344</v>
      </c>
      <c r="U22" s="2"/>
      <c r="V22" s="6">
        <f t="shared" si="5"/>
        <v>0</v>
      </c>
      <c r="W22" s="2"/>
      <c r="X22" s="7">
        <f t="shared" si="6"/>
        <v>-1977.1699999999983</v>
      </c>
      <c r="Y22" s="2"/>
      <c r="Z22" s="6">
        <f t="shared" si="7"/>
        <v>-9.2633526986506662E-2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72.540000000000006</v>
      </c>
      <c r="E23" s="2"/>
      <c r="F23" s="6">
        <f t="shared" si="0"/>
        <v>0</v>
      </c>
      <c r="G23" s="2"/>
      <c r="H23" s="7">
        <v>62.111376923076897</v>
      </c>
      <c r="I23" s="2"/>
      <c r="J23" s="6">
        <f t="shared" si="1"/>
        <v>0</v>
      </c>
      <c r="K23" s="2"/>
      <c r="L23" s="7">
        <f t="shared" si="2"/>
        <v>10.42862307692311</v>
      </c>
      <c r="M23" s="2"/>
      <c r="N23" s="6">
        <f t="shared" si="3"/>
        <v>0.16790197856728648</v>
      </c>
      <c r="O23" s="11"/>
      <c r="P23" s="7">
        <v>216.44</v>
      </c>
      <c r="Q23" s="2"/>
      <c r="R23" s="6">
        <f t="shared" si="4"/>
        <v>0</v>
      </c>
      <c r="S23" s="2"/>
      <c r="T23" s="7">
        <v>223.60095692307701</v>
      </c>
      <c r="U23" s="2"/>
      <c r="V23" s="6">
        <f t="shared" si="5"/>
        <v>0</v>
      </c>
      <c r="W23" s="2"/>
      <c r="X23" s="7">
        <f t="shared" si="6"/>
        <v>-7.1609569230770092</v>
      </c>
      <c r="Y23" s="2"/>
      <c r="Z23" s="6">
        <f t="shared" si="7"/>
        <v>-3.2025609467943889E-2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2751.15</v>
      </c>
      <c r="E24" s="2"/>
      <c r="F24" s="6">
        <f t="shared" si="0"/>
        <v>0</v>
      </c>
      <c r="G24" s="2"/>
      <c r="H24" s="7">
        <v>1958.98076923077</v>
      </c>
      <c r="I24" s="2"/>
      <c r="J24" s="6">
        <f t="shared" si="1"/>
        <v>0</v>
      </c>
      <c r="K24" s="2"/>
      <c r="L24" s="7">
        <f t="shared" si="2"/>
        <v>792.16923076923013</v>
      </c>
      <c r="M24" s="2"/>
      <c r="N24" s="6">
        <f t="shared" si="3"/>
        <v>0.40437825792454818</v>
      </c>
      <c r="O24" s="11"/>
      <c r="P24" s="7">
        <v>8253.48</v>
      </c>
      <c r="Q24" s="2"/>
      <c r="R24" s="6">
        <f t="shared" si="4"/>
        <v>0</v>
      </c>
      <c r="S24" s="2"/>
      <c r="T24" s="7">
        <v>7052.3307692307799</v>
      </c>
      <c r="U24" s="2"/>
      <c r="V24" s="6">
        <f t="shared" si="5"/>
        <v>0</v>
      </c>
      <c r="W24" s="2"/>
      <c r="X24" s="7">
        <f t="shared" si="6"/>
        <v>1201.1492307692197</v>
      </c>
      <c r="Y24" s="2"/>
      <c r="Z24" s="6">
        <f t="shared" si="7"/>
        <v>0.17031946884990376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7">
        <v>1106.1099999999999</v>
      </c>
      <c r="E26" s="2"/>
      <c r="F26" s="6">
        <f t="shared" si="0"/>
        <v>0</v>
      </c>
      <c r="G26" s="2"/>
      <c r="H26" s="7">
        <v>1138.9423076923099</v>
      </c>
      <c r="I26" s="2"/>
      <c r="J26" s="6">
        <f t="shared" si="1"/>
        <v>0</v>
      </c>
      <c r="K26" s="2"/>
      <c r="L26" s="7">
        <f t="shared" si="2"/>
        <v>-32.832307692309996</v>
      </c>
      <c r="M26" s="2"/>
      <c r="N26" s="6">
        <f t="shared" si="3"/>
        <v>-2.8827015618406358E-2</v>
      </c>
      <c r="O26" s="11"/>
      <c r="P26" s="7">
        <v>5170.3</v>
      </c>
      <c r="Q26" s="2"/>
      <c r="R26" s="6">
        <f t="shared" si="4"/>
        <v>0</v>
      </c>
      <c r="S26" s="2"/>
      <c r="T26" s="7">
        <v>4100.1923076923104</v>
      </c>
      <c r="U26" s="2"/>
      <c r="V26" s="6">
        <f t="shared" si="5"/>
        <v>0</v>
      </c>
      <c r="W26" s="2"/>
      <c r="X26" s="7">
        <f t="shared" si="6"/>
        <v>1070.1076923076898</v>
      </c>
      <c r="Y26" s="2"/>
      <c r="Z26" s="6">
        <f t="shared" si="7"/>
        <v>0.26098963463252117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7">
        <v>1266.0899999999999</v>
      </c>
      <c r="E27" s="2"/>
      <c r="F27" s="6">
        <f t="shared" si="0"/>
        <v>0</v>
      </c>
      <c r="G27" s="2"/>
      <c r="H27" s="7">
        <v>1342.88230769231</v>
      </c>
      <c r="I27" s="2"/>
      <c r="J27" s="6">
        <f t="shared" si="1"/>
        <v>0</v>
      </c>
      <c r="K27" s="2"/>
      <c r="L27" s="7">
        <f t="shared" si="2"/>
        <v>-76.792307692310033</v>
      </c>
      <c r="M27" s="2"/>
      <c r="N27" s="6">
        <f t="shared" si="3"/>
        <v>-5.7184689419487976E-2</v>
      </c>
      <c r="O27" s="11"/>
      <c r="P27" s="7">
        <v>3798.27</v>
      </c>
      <c r="Q27" s="2"/>
      <c r="R27" s="6">
        <f t="shared" si="4"/>
        <v>0</v>
      </c>
      <c r="S27" s="2"/>
      <c r="T27" s="7">
        <v>4834.3763076923196</v>
      </c>
      <c r="U27" s="2"/>
      <c r="V27" s="6">
        <f t="shared" si="5"/>
        <v>0</v>
      </c>
      <c r="W27" s="2"/>
      <c r="X27" s="7">
        <f t="shared" si="6"/>
        <v>-1036.1063076923197</v>
      </c>
      <c r="Y27" s="2"/>
      <c r="Z27" s="6">
        <f t="shared" si="7"/>
        <v>-0.21432057451624056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7">
        <v>352.64</v>
      </c>
      <c r="E28" s="2"/>
      <c r="F28" s="6">
        <f t="shared" si="0"/>
        <v>0</v>
      </c>
      <c r="G28" s="2"/>
      <c r="H28" s="7">
        <v>300</v>
      </c>
      <c r="I28" s="2"/>
      <c r="J28" s="6">
        <f t="shared" si="1"/>
        <v>0</v>
      </c>
      <c r="K28" s="2"/>
      <c r="L28" s="7">
        <f t="shared" si="2"/>
        <v>52.639999999999986</v>
      </c>
      <c r="M28" s="2"/>
      <c r="N28" s="6">
        <f t="shared" si="3"/>
        <v>0.17546666666666663</v>
      </c>
      <c r="O28" s="11"/>
      <c r="P28" s="7">
        <v>921.36</v>
      </c>
      <c r="Q28" s="2"/>
      <c r="R28" s="6">
        <f t="shared" si="4"/>
        <v>0</v>
      </c>
      <c r="S28" s="2"/>
      <c r="T28" s="7">
        <v>1200</v>
      </c>
      <c r="U28" s="2"/>
      <c r="V28" s="6">
        <f t="shared" si="5"/>
        <v>0</v>
      </c>
      <c r="W28" s="2"/>
      <c r="X28" s="7">
        <f t="shared" si="6"/>
        <v>-278.64</v>
      </c>
      <c r="Y28" s="2"/>
      <c r="Z28" s="6">
        <f t="shared" si="7"/>
        <v>-0.23219999999999999</v>
      </c>
    </row>
    <row r="29" spans="1:26" s="28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21389</v>
      </c>
      <c r="E29" s="1"/>
      <c r="F29" s="5">
        <f t="shared" ref="F29:F39" si="8">IF(D$12=0,0,D29/D$12)</f>
        <v>0</v>
      </c>
      <c r="G29" s="1"/>
      <c r="H29" s="1">
        <f>SUM(OSRRefH22_1x_0)</f>
        <v>27298.961538461499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-5909.961538461499</v>
      </c>
      <c r="M29" s="1"/>
      <c r="N29" s="5">
        <f t="shared" ref="N29:N39" si="11">IF(H29=0,0,L29/H29)</f>
        <v>-0.21649034268702697</v>
      </c>
      <c r="O29" s="14"/>
      <c r="P29" s="1">
        <f>SUM(OSRRefP22_1x_0)</f>
        <v>76468.039999999994</v>
      </c>
      <c r="Q29" s="1"/>
      <c r="R29" s="5">
        <f t="shared" ref="R29:R39" si="12">IF(P$12=0,0,P29/P$12)</f>
        <v>0</v>
      </c>
      <c r="S29" s="1"/>
      <c r="T29" s="1">
        <f>SUM(OSRRefT22_1x_0)</f>
        <v>98276.261538461404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-21808.22153846141</v>
      </c>
      <c r="Y29" s="1"/>
      <c r="Z29" s="5">
        <f t="shared" ref="Z29:Z39" si="15">IF(T29=0,0,X29/T29)</f>
        <v>-0.22190731715946016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7">
        <v>21389</v>
      </c>
      <c r="E31" s="2"/>
      <c r="F31" s="6">
        <f t="shared" si="8"/>
        <v>0</v>
      </c>
      <c r="G31" s="2"/>
      <c r="H31" s="7">
        <v>20500.961538461499</v>
      </c>
      <c r="I31" s="2"/>
      <c r="J31" s="6">
        <f t="shared" si="9"/>
        <v>0</v>
      </c>
      <c r="K31" s="2"/>
      <c r="L31" s="7">
        <f t="shared" si="10"/>
        <v>888.038461538501</v>
      </c>
      <c r="M31" s="2"/>
      <c r="N31" s="6">
        <f t="shared" si="11"/>
        <v>4.3316917592985449E-2</v>
      </c>
      <c r="O31" s="11"/>
      <c r="P31" s="7">
        <v>76468.039999999994</v>
      </c>
      <c r="Q31" s="2"/>
      <c r="R31" s="6">
        <f t="shared" si="12"/>
        <v>0</v>
      </c>
      <c r="S31" s="2"/>
      <c r="T31" s="7">
        <v>73803.461538461401</v>
      </c>
      <c r="U31" s="2"/>
      <c r="V31" s="6">
        <f t="shared" si="13"/>
        <v>0</v>
      </c>
      <c r="W31" s="2"/>
      <c r="X31" s="7">
        <f t="shared" si="14"/>
        <v>2664.5784615385928</v>
      </c>
      <c r="Y31" s="2"/>
      <c r="Z31" s="6">
        <f t="shared" si="15"/>
        <v>3.6103705788244005E-2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6798</v>
      </c>
      <c r="I33" s="2"/>
      <c r="J33" s="6">
        <f t="shared" si="9"/>
        <v>0</v>
      </c>
      <c r="K33" s="2"/>
      <c r="L33" s="7">
        <f t="shared" si="10"/>
        <v>-6798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24472.799999999999</v>
      </c>
      <c r="U33" s="2"/>
      <c r="V33" s="6">
        <f t="shared" si="13"/>
        <v>0</v>
      </c>
      <c r="W33" s="2"/>
      <c r="X33" s="7">
        <f t="shared" si="14"/>
        <v>-24472.799999999999</v>
      </c>
      <c r="Y33" s="2"/>
      <c r="Z33" s="6">
        <f t="shared" si="15"/>
        <v>-1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4" si="16">IF(D$12=0,0,D40/D$12)</f>
        <v>0</v>
      </c>
      <c r="G40" s="1"/>
      <c r="H40" s="1">
        <f>SUM(OSRRefH22_2x_0)</f>
        <v>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0</v>
      </c>
      <c r="M40" s="1"/>
      <c r="N40" s="5">
        <f t="shared" ref="N40:N44" si="19">IF(H40=0,0,L40/H40)</f>
        <v>0</v>
      </c>
      <c r="O40" s="14"/>
      <c r="P40" s="1">
        <f>SUM(OSRRefP22_2x_0)</f>
        <v>0</v>
      </c>
      <c r="Q40" s="1"/>
      <c r="R40" s="5">
        <f t="shared" ref="R40:R44" si="20">IF(P$12=0,0,P40/P$12)</f>
        <v>0</v>
      </c>
      <c r="S40" s="1"/>
      <c r="T40" s="1">
        <f>SUM(OSRRefT22_2x_0)</f>
        <v>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0</v>
      </c>
      <c r="Y40" s="1"/>
      <c r="Z40" s="5">
        <f t="shared" ref="Z40:Z44" si="23">IF(T40=0,0,X40/T40)</f>
        <v>0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/>
      <c r="Q41" s="2"/>
      <c r="R41" s="6">
        <f t="shared" si="20"/>
        <v>0</v>
      </c>
      <c r="S41" s="2"/>
      <c r="T41" s="7">
        <v>0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8" customFormat="1" outlineLevel="1" collapsed="1" x14ac:dyDescent="0.25">
      <c r="A42" s="29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2140.9</v>
      </c>
      <c r="E42" s="1"/>
      <c r="F42" s="5">
        <f t="shared" si="16"/>
        <v>0</v>
      </c>
      <c r="G42" s="1"/>
      <c r="H42" s="1">
        <f>SUM(OSRRefH22_3x_0)</f>
        <v>2099</v>
      </c>
      <c r="I42" s="1"/>
      <c r="J42" s="5">
        <f t="shared" si="17"/>
        <v>0</v>
      </c>
      <c r="K42" s="1"/>
      <c r="L42" s="1">
        <f t="shared" si="18"/>
        <v>41.900000000000091</v>
      </c>
      <c r="M42" s="1"/>
      <c r="N42" s="5">
        <f t="shared" si="19"/>
        <v>1.9961886612672744E-2</v>
      </c>
      <c r="O42" s="14"/>
      <c r="P42" s="1">
        <f>SUM(OSRRefP22_3x_0)</f>
        <v>17436</v>
      </c>
      <c r="Q42" s="1"/>
      <c r="R42" s="5">
        <f t="shared" si="20"/>
        <v>0</v>
      </c>
      <c r="S42" s="1"/>
      <c r="T42" s="1">
        <f>SUM(OSRRefT22_3x_0)</f>
        <v>17267</v>
      </c>
      <c r="U42" s="1"/>
      <c r="V42" s="5">
        <f t="shared" si="21"/>
        <v>0</v>
      </c>
      <c r="W42" s="1"/>
      <c r="X42" s="1">
        <f t="shared" si="22"/>
        <v>169</v>
      </c>
      <c r="Y42" s="1"/>
      <c r="Z42" s="5">
        <f t="shared" si="23"/>
        <v>9.7874558406208373E-3</v>
      </c>
    </row>
    <row r="43" spans="1:26" s="24" customFormat="1" hidden="1" outlineLevel="2" x14ac:dyDescent="0.25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2140.9</v>
      </c>
      <c r="E43" s="2"/>
      <c r="F43" s="6">
        <f t="shared" si="16"/>
        <v>0</v>
      </c>
      <c r="G43" s="2"/>
      <c r="H43" s="7">
        <v>1599</v>
      </c>
      <c r="I43" s="2"/>
      <c r="J43" s="6">
        <f t="shared" si="17"/>
        <v>0</v>
      </c>
      <c r="K43" s="2"/>
      <c r="L43" s="7">
        <f t="shared" si="18"/>
        <v>541.90000000000009</v>
      </c>
      <c r="M43" s="2"/>
      <c r="N43" s="6">
        <f t="shared" si="19"/>
        <v>0.33889931207004381</v>
      </c>
      <c r="O43" s="11"/>
      <c r="P43" s="7">
        <v>17436</v>
      </c>
      <c r="Q43" s="2"/>
      <c r="R43" s="6">
        <f t="shared" si="20"/>
        <v>0</v>
      </c>
      <c r="S43" s="2"/>
      <c r="T43" s="7">
        <v>15267</v>
      </c>
      <c r="U43" s="2"/>
      <c r="V43" s="6">
        <f t="shared" si="21"/>
        <v>0</v>
      </c>
      <c r="W43" s="2"/>
      <c r="X43" s="7">
        <f t="shared" si="22"/>
        <v>2169</v>
      </c>
      <c r="Y43" s="2"/>
      <c r="Z43" s="6">
        <f t="shared" si="23"/>
        <v>0.1420711338180389</v>
      </c>
    </row>
    <row r="44" spans="1:26" s="24" customFormat="1" hidden="1" outlineLevel="2" x14ac:dyDescent="0.25">
      <c r="A44" s="27"/>
      <c r="B44" s="11" t="str">
        <f>CONCATENATE("          ", "6324", " - ", "FURNITURE + FIXT DEPRECIATION")</f>
        <v xml:space="preserve">          6324 - FURNITURE + FIXT DEPRECIATION</v>
      </c>
      <c r="C44" s="11"/>
      <c r="D44" s="7"/>
      <c r="E44" s="2"/>
      <c r="F44" s="6">
        <f t="shared" si="16"/>
        <v>0</v>
      </c>
      <c r="G44" s="2"/>
      <c r="H44" s="7">
        <v>500</v>
      </c>
      <c r="I44" s="2"/>
      <c r="J44" s="6">
        <f t="shared" si="17"/>
        <v>0</v>
      </c>
      <c r="K44" s="2"/>
      <c r="L44" s="7">
        <f t="shared" si="18"/>
        <v>-500</v>
      </c>
      <c r="M44" s="2"/>
      <c r="N44" s="6">
        <f t="shared" si="19"/>
        <v>-1</v>
      </c>
      <c r="O44" s="11"/>
      <c r="P44" s="7"/>
      <c r="Q44" s="2"/>
      <c r="R44" s="6">
        <f t="shared" si="20"/>
        <v>0</v>
      </c>
      <c r="S44" s="2"/>
      <c r="T44" s="7">
        <v>2000</v>
      </c>
      <c r="U44" s="2"/>
      <c r="V44" s="6">
        <f t="shared" si="21"/>
        <v>0</v>
      </c>
      <c r="W44" s="2"/>
      <c r="X44" s="7">
        <f t="shared" si="22"/>
        <v>-2000</v>
      </c>
      <c r="Y44" s="2"/>
      <c r="Z44" s="6">
        <f t="shared" si="23"/>
        <v>-1</v>
      </c>
    </row>
    <row r="45" spans="1:26" s="28" customFormat="1" outlineLevel="1" collapsed="1" x14ac:dyDescent="0.25">
      <c r="A45" s="29"/>
      <c r="B45" s="14" t="str">
        <f>CONCATENATE("     ","Insurance                                         ")</f>
        <v xml:space="preserve">     Insurance                                         </v>
      </c>
      <c r="C45" s="14"/>
      <c r="D45" s="1">
        <f>SUM(OSRRefD22_4x_0)</f>
        <v>76.569999999999993</v>
      </c>
      <c r="E45" s="1"/>
      <c r="F45" s="5">
        <f t="shared" ref="F45:F51" si="24">IF(D$12=0,0,D45/D$12)</f>
        <v>0</v>
      </c>
      <c r="G45" s="1"/>
      <c r="H45" s="1">
        <f>SUM(OSRRefH22_4x_0)</f>
        <v>75</v>
      </c>
      <c r="I45" s="1"/>
      <c r="J45" s="5">
        <f t="shared" ref="J45:J51" si="25">IF(H$12=0,0,H45/H$12)</f>
        <v>0</v>
      </c>
      <c r="K45" s="1"/>
      <c r="L45" s="1">
        <f t="shared" ref="L45:L51" si="26">+D45-H45</f>
        <v>1.5699999999999932</v>
      </c>
      <c r="M45" s="1"/>
      <c r="N45" s="5">
        <f t="shared" ref="N45:N51" si="27">IF(H45=0,0,L45/H45)</f>
        <v>2.0933333333333241E-2</v>
      </c>
      <c r="O45" s="14"/>
      <c r="P45" s="1">
        <f>SUM(OSRRefP22_4x_0)</f>
        <v>306.27999999999997</v>
      </c>
      <c r="Q45" s="1"/>
      <c r="R45" s="5">
        <f t="shared" ref="R45:R51" si="28">IF(P$12=0,0,P45/P$12)</f>
        <v>0</v>
      </c>
      <c r="S45" s="1"/>
      <c r="T45" s="1">
        <f>SUM(OSRRefT22_4x_0)</f>
        <v>300</v>
      </c>
      <c r="U45" s="1"/>
      <c r="V45" s="5">
        <f t="shared" ref="V45:V51" si="29">IF(T$12=0,0,T45/T$12)</f>
        <v>0</v>
      </c>
      <c r="W45" s="1"/>
      <c r="X45" s="1">
        <f t="shared" ref="X45:X51" si="30">+P45-T45</f>
        <v>6.2799999999999727</v>
      </c>
      <c r="Y45" s="1"/>
      <c r="Z45" s="5">
        <f t="shared" ref="Z45:Z51" si="31">IF(T45=0,0,X45/T45)</f>
        <v>2.0933333333333241E-2</v>
      </c>
    </row>
    <row r="46" spans="1:26" s="24" customFormat="1" hidden="1" outlineLevel="2" x14ac:dyDescent="0.25">
      <c r="A46" s="27"/>
      <c r="B46" s="11" t="str">
        <f>CONCATENATE("          ", "6314", " - ", "LIABILITY INSURANCE")</f>
        <v xml:space="preserve">          6314 - LIABILITY INSURANCE</v>
      </c>
      <c r="C46" s="11"/>
      <c r="D46" s="7">
        <v>76.569999999999993</v>
      </c>
      <c r="E46" s="2"/>
      <c r="F46" s="6">
        <f t="shared" si="24"/>
        <v>0</v>
      </c>
      <c r="G46" s="2"/>
      <c r="H46" s="7">
        <v>75</v>
      </c>
      <c r="I46" s="2"/>
      <c r="J46" s="6">
        <f t="shared" si="25"/>
        <v>0</v>
      </c>
      <c r="K46" s="2"/>
      <c r="L46" s="7">
        <f t="shared" si="26"/>
        <v>1.5699999999999932</v>
      </c>
      <c r="M46" s="2"/>
      <c r="N46" s="6">
        <f t="shared" si="27"/>
        <v>2.0933333333333241E-2</v>
      </c>
      <c r="O46" s="11"/>
      <c r="P46" s="7">
        <v>306.27999999999997</v>
      </c>
      <c r="Q46" s="2"/>
      <c r="R46" s="6">
        <f t="shared" si="28"/>
        <v>0</v>
      </c>
      <c r="S46" s="2"/>
      <c r="T46" s="7">
        <v>300</v>
      </c>
      <c r="U46" s="2"/>
      <c r="V46" s="6">
        <f t="shared" si="29"/>
        <v>0</v>
      </c>
      <c r="W46" s="2"/>
      <c r="X46" s="7">
        <f t="shared" si="30"/>
        <v>6.2799999999999727</v>
      </c>
      <c r="Y46" s="2"/>
      <c r="Z46" s="6">
        <f t="shared" si="31"/>
        <v>2.0933333333333241E-2</v>
      </c>
    </row>
    <row r="47" spans="1:26" s="28" customFormat="1" outlineLevel="1" collapsed="1" x14ac:dyDescent="0.25">
      <c r="A47" s="29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SUM(OSRRefD22_5x_0)</f>
        <v>10667.06</v>
      </c>
      <c r="E47" s="1"/>
      <c r="F47" s="5">
        <f t="shared" si="24"/>
        <v>0</v>
      </c>
      <c r="G47" s="1"/>
      <c r="H47" s="1">
        <f>SUM(OSRRefH22_5x_0)</f>
        <v>10467</v>
      </c>
      <c r="I47" s="1"/>
      <c r="J47" s="5">
        <f t="shared" si="25"/>
        <v>0</v>
      </c>
      <c r="K47" s="1"/>
      <c r="L47" s="1">
        <f t="shared" si="26"/>
        <v>200.05999999999949</v>
      </c>
      <c r="M47" s="1"/>
      <c r="N47" s="5">
        <f t="shared" si="27"/>
        <v>1.9113404031718687E-2</v>
      </c>
      <c r="O47" s="14"/>
      <c r="P47" s="1">
        <f>SUM(OSRRefP22_5x_0)</f>
        <v>38371.579999999994</v>
      </c>
      <c r="Q47" s="1"/>
      <c r="R47" s="5">
        <f t="shared" si="28"/>
        <v>0</v>
      </c>
      <c r="S47" s="1"/>
      <c r="T47" s="1">
        <f>SUM(OSRRefT22_5x_0)</f>
        <v>44868</v>
      </c>
      <c r="U47" s="1"/>
      <c r="V47" s="5">
        <f t="shared" si="29"/>
        <v>0</v>
      </c>
      <c r="W47" s="1"/>
      <c r="X47" s="1">
        <f t="shared" si="30"/>
        <v>-6496.4200000000055</v>
      </c>
      <c r="Y47" s="1"/>
      <c r="Z47" s="5">
        <f t="shared" si="31"/>
        <v>-0.14478960506374267</v>
      </c>
    </row>
    <row r="48" spans="1:26" s="24" customFormat="1" hidden="1" outlineLevel="2" x14ac:dyDescent="0.25">
      <c r="A48" s="27"/>
      <c r="B48" s="11" t="str">
        <f>CONCATENATE("          ", "6371", " - ", "COMPUTER SOFTWARE MAINTENANCE")</f>
        <v xml:space="preserve">          6371 - COMPUTER SOFTWARE MAINTENANCE</v>
      </c>
      <c r="C48" s="11"/>
      <c r="D48" s="7">
        <v>165</v>
      </c>
      <c r="E48" s="2"/>
      <c r="F48" s="6">
        <f t="shared" si="24"/>
        <v>0</v>
      </c>
      <c r="G48" s="2"/>
      <c r="H48" s="7">
        <v>1000</v>
      </c>
      <c r="I48" s="2"/>
      <c r="J48" s="6">
        <f t="shared" si="25"/>
        <v>0</v>
      </c>
      <c r="K48" s="2"/>
      <c r="L48" s="7">
        <f t="shared" si="26"/>
        <v>-835</v>
      </c>
      <c r="M48" s="2"/>
      <c r="N48" s="6">
        <f t="shared" si="27"/>
        <v>-0.83499999999999996</v>
      </c>
      <c r="O48" s="11"/>
      <c r="P48" s="7">
        <v>1824</v>
      </c>
      <c r="Q48" s="2"/>
      <c r="R48" s="6">
        <f t="shared" si="28"/>
        <v>0</v>
      </c>
      <c r="S48" s="2"/>
      <c r="T48" s="7">
        <v>4000</v>
      </c>
      <c r="U48" s="2"/>
      <c r="V48" s="6">
        <f t="shared" si="29"/>
        <v>0</v>
      </c>
      <c r="W48" s="2"/>
      <c r="X48" s="7">
        <f t="shared" si="30"/>
        <v>-2176</v>
      </c>
      <c r="Y48" s="2"/>
      <c r="Z48" s="6">
        <f t="shared" si="31"/>
        <v>-0.54400000000000004</v>
      </c>
    </row>
    <row r="49" spans="1:26" s="24" customFormat="1" hidden="1" outlineLevel="2" x14ac:dyDescent="0.25">
      <c r="A49" s="27"/>
      <c r="B49" s="11" t="str">
        <f>CONCATENATE("          ", "6372", " - ", "COMPUTER HARDWARE MAINTENANCE")</f>
        <v xml:space="preserve">          6372 - COMPUTER HARDWARE MAINTENANCE</v>
      </c>
      <c r="C49" s="11"/>
      <c r="D49" s="7">
        <v>1008.07</v>
      </c>
      <c r="E49" s="2"/>
      <c r="F49" s="6">
        <f t="shared" si="24"/>
        <v>0</v>
      </c>
      <c r="G49" s="2"/>
      <c r="H49" s="7">
        <v>0</v>
      </c>
      <c r="I49" s="2"/>
      <c r="J49" s="6">
        <f t="shared" si="25"/>
        <v>0</v>
      </c>
      <c r="K49" s="2"/>
      <c r="L49" s="7">
        <f t="shared" si="26"/>
        <v>1008.07</v>
      </c>
      <c r="M49" s="2"/>
      <c r="N49" s="6">
        <f t="shared" si="27"/>
        <v>0</v>
      </c>
      <c r="O49" s="11"/>
      <c r="P49" s="7">
        <v>1008.07</v>
      </c>
      <c r="Q49" s="2"/>
      <c r="R49" s="6">
        <f t="shared" si="28"/>
        <v>0</v>
      </c>
      <c r="S49" s="2"/>
      <c r="T49" s="7">
        <v>3000</v>
      </c>
      <c r="U49" s="2"/>
      <c r="V49" s="6">
        <f t="shared" si="29"/>
        <v>0</v>
      </c>
      <c r="W49" s="2"/>
      <c r="X49" s="7">
        <f t="shared" si="30"/>
        <v>-1991.9299999999998</v>
      </c>
      <c r="Y49" s="2"/>
      <c r="Z49" s="6">
        <f t="shared" si="31"/>
        <v>-0.66397666666666666</v>
      </c>
    </row>
    <row r="50" spans="1:26" s="24" customFormat="1" hidden="1" outlineLevel="2" x14ac:dyDescent="0.25">
      <c r="A50" s="27"/>
      <c r="B50" s="11" t="str">
        <f>CONCATENATE("          ", "6373", " - ", "MAINTENANCE CONTRACTS")</f>
        <v xml:space="preserve">          6373 - MAINTENANCE CONTRACTS</v>
      </c>
      <c r="C50" s="11"/>
      <c r="D50" s="7">
        <v>9493.99</v>
      </c>
      <c r="E50" s="2"/>
      <c r="F50" s="6">
        <f t="shared" si="24"/>
        <v>0</v>
      </c>
      <c r="G50" s="2"/>
      <c r="H50" s="7">
        <v>9467</v>
      </c>
      <c r="I50" s="2"/>
      <c r="J50" s="6">
        <f t="shared" si="25"/>
        <v>0</v>
      </c>
      <c r="K50" s="2"/>
      <c r="L50" s="7">
        <f t="shared" si="26"/>
        <v>26.989999999999782</v>
      </c>
      <c r="M50" s="2"/>
      <c r="N50" s="6">
        <f t="shared" si="27"/>
        <v>2.8509559522551793E-3</v>
      </c>
      <c r="O50" s="11"/>
      <c r="P50" s="7">
        <v>35491.99</v>
      </c>
      <c r="Q50" s="2"/>
      <c r="R50" s="6">
        <f t="shared" si="28"/>
        <v>0</v>
      </c>
      <c r="S50" s="2"/>
      <c r="T50" s="7">
        <v>37868</v>
      </c>
      <c r="U50" s="2"/>
      <c r="V50" s="6">
        <f t="shared" si="29"/>
        <v>0</v>
      </c>
      <c r="W50" s="2"/>
      <c r="X50" s="7">
        <f t="shared" si="30"/>
        <v>-2376.010000000002</v>
      </c>
      <c r="Y50" s="2"/>
      <c r="Z50" s="6">
        <f t="shared" si="31"/>
        <v>-6.2744533643181638E-2</v>
      </c>
    </row>
    <row r="51" spans="1:26" s="24" customFormat="1" hidden="1" outlineLevel="2" x14ac:dyDescent="0.25">
      <c r="A51" s="27"/>
      <c r="B51" s="11" t="str">
        <f>CONCATENATE("          ", "6375", " - ", "OUTSIDE REPAIRS &amp; MAINTENANCE")</f>
        <v xml:space="preserve">          6375 - OUTSIDE REPAIRS &amp; MAINTENANCE</v>
      </c>
      <c r="C51" s="11"/>
      <c r="D51" s="7"/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>
        <v>47.52</v>
      </c>
      <c r="Q51" s="2"/>
      <c r="R51" s="6">
        <f t="shared" si="28"/>
        <v>0</v>
      </c>
      <c r="S51" s="2"/>
      <c r="T51" s="7"/>
      <c r="U51" s="2"/>
      <c r="V51" s="6">
        <f t="shared" si="29"/>
        <v>0</v>
      </c>
      <c r="W51" s="2"/>
      <c r="X51" s="7">
        <f t="shared" si="30"/>
        <v>47.52</v>
      </c>
      <c r="Y51" s="2"/>
      <c r="Z51" s="6">
        <f t="shared" si="31"/>
        <v>0</v>
      </c>
    </row>
    <row r="52" spans="1:26" s="28" customFormat="1" outlineLevel="1" collapsed="1" x14ac:dyDescent="0.25">
      <c r="A52" s="29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SUM(OSRRefD22_6x_0)</f>
        <v>1012.82</v>
      </c>
      <c r="E52" s="1"/>
      <c r="F52" s="5">
        <f t="shared" ref="F52:F56" si="32">IF(D$12=0,0,D52/D$12)</f>
        <v>0</v>
      </c>
      <c r="G52" s="1"/>
      <c r="H52" s="1">
        <f>SUM(OSRRefH22_6x_0)</f>
        <v>100</v>
      </c>
      <c r="I52" s="1"/>
      <c r="J52" s="5">
        <f t="shared" ref="J52:J56" si="33">IF(H$12=0,0,H52/H$12)</f>
        <v>0</v>
      </c>
      <c r="K52" s="1"/>
      <c r="L52" s="1">
        <f t="shared" ref="L52:L56" si="34">+D52-H52</f>
        <v>912.82</v>
      </c>
      <c r="M52" s="1"/>
      <c r="N52" s="5">
        <f t="shared" ref="N52:N56" si="35">IF(H52=0,0,L52/H52)</f>
        <v>9.1281999999999996</v>
      </c>
      <c r="O52" s="14"/>
      <c r="P52" s="1">
        <f>SUM(OSRRefP22_6x_0)</f>
        <v>1349.74</v>
      </c>
      <c r="Q52" s="1"/>
      <c r="R52" s="5">
        <f t="shared" ref="R52:R56" si="36">IF(P$12=0,0,P52/P$12)</f>
        <v>0</v>
      </c>
      <c r="S52" s="1"/>
      <c r="T52" s="1">
        <f>SUM(OSRRefT22_6x_0)</f>
        <v>400</v>
      </c>
      <c r="U52" s="1"/>
      <c r="V52" s="5">
        <f t="shared" ref="V52:V56" si="37">IF(T$12=0,0,T52/T$12)</f>
        <v>0</v>
      </c>
      <c r="W52" s="1"/>
      <c r="X52" s="1">
        <f t="shared" ref="X52:X56" si="38">+P52-T52</f>
        <v>949.74</v>
      </c>
      <c r="Y52" s="1"/>
      <c r="Z52" s="5">
        <f t="shared" ref="Z52:Z56" si="39">IF(T52=0,0,X52/T52)</f>
        <v>2.3743500000000002</v>
      </c>
    </row>
    <row r="53" spans="1:26" s="24" customFormat="1" hidden="1" outlineLevel="2" x14ac:dyDescent="0.25">
      <c r="A53" s="27"/>
      <c r="B53" s="11" t="str">
        <f>CONCATENATE("          ", "6241", " - ", "OFFICE EXPENSE")</f>
        <v xml:space="preserve">          6241 - OFFICE EXPENSE</v>
      </c>
      <c r="C53" s="11"/>
      <c r="D53" s="7">
        <v>1012.82</v>
      </c>
      <c r="E53" s="2"/>
      <c r="F53" s="6">
        <f t="shared" si="32"/>
        <v>0</v>
      </c>
      <c r="G53" s="2"/>
      <c r="H53" s="7">
        <v>100</v>
      </c>
      <c r="I53" s="2"/>
      <c r="J53" s="6">
        <f t="shared" si="33"/>
        <v>0</v>
      </c>
      <c r="K53" s="2"/>
      <c r="L53" s="7">
        <f t="shared" si="34"/>
        <v>912.82</v>
      </c>
      <c r="M53" s="2"/>
      <c r="N53" s="6">
        <f t="shared" si="35"/>
        <v>9.1281999999999996</v>
      </c>
      <c r="O53" s="11"/>
      <c r="P53" s="7">
        <v>1349.74</v>
      </c>
      <c r="Q53" s="2"/>
      <c r="R53" s="6">
        <f t="shared" si="36"/>
        <v>0</v>
      </c>
      <c r="S53" s="2"/>
      <c r="T53" s="7">
        <v>400</v>
      </c>
      <c r="U53" s="2"/>
      <c r="V53" s="6">
        <f t="shared" si="37"/>
        <v>0</v>
      </c>
      <c r="W53" s="2"/>
      <c r="X53" s="7">
        <f t="shared" si="38"/>
        <v>949.74</v>
      </c>
      <c r="Y53" s="2"/>
      <c r="Z53" s="6">
        <f t="shared" si="39"/>
        <v>2.3743500000000002</v>
      </c>
    </row>
    <row r="54" spans="1:26" s="28" customFormat="1" outlineLevel="1" collapsed="1" x14ac:dyDescent="0.25">
      <c r="A54" s="29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SUM(OSRRefD22_7x_0)</f>
        <v>1198.71</v>
      </c>
      <c r="E54" s="1"/>
      <c r="F54" s="5">
        <f t="shared" si="32"/>
        <v>0</v>
      </c>
      <c r="G54" s="1"/>
      <c r="H54" s="1">
        <f>SUM(OSRRefH22_7x_0)</f>
        <v>500</v>
      </c>
      <c r="I54" s="1"/>
      <c r="J54" s="5">
        <f t="shared" si="33"/>
        <v>0</v>
      </c>
      <c r="K54" s="1"/>
      <c r="L54" s="1">
        <f t="shared" si="34"/>
        <v>698.71</v>
      </c>
      <c r="M54" s="1"/>
      <c r="N54" s="5">
        <f t="shared" si="35"/>
        <v>1.3974200000000001</v>
      </c>
      <c r="O54" s="14"/>
      <c r="P54" s="1">
        <f>SUM(OSRRefP22_7x_0)</f>
        <v>3569.82</v>
      </c>
      <c r="Q54" s="1"/>
      <c r="R54" s="5">
        <f t="shared" si="36"/>
        <v>0</v>
      </c>
      <c r="S54" s="1"/>
      <c r="T54" s="1">
        <f>SUM(OSRRefT22_7x_0)</f>
        <v>2000</v>
      </c>
      <c r="U54" s="1"/>
      <c r="V54" s="5">
        <f t="shared" si="37"/>
        <v>0</v>
      </c>
      <c r="W54" s="1"/>
      <c r="X54" s="1">
        <f t="shared" si="38"/>
        <v>1569.8200000000002</v>
      </c>
      <c r="Y54" s="1"/>
      <c r="Z54" s="5">
        <f t="shared" si="39"/>
        <v>0.78491000000000011</v>
      </c>
    </row>
    <row r="55" spans="1:26" s="24" customFormat="1" hidden="1" outlineLevel="2" x14ac:dyDescent="0.25">
      <c r="A55" s="27"/>
      <c r="B55" s="11" t="str">
        <f>CONCATENATE("          ", "6303", " - ", "DATA PHONE LINES")</f>
        <v xml:space="preserve">          6303 - DATA PHONE LINES</v>
      </c>
      <c r="C55" s="11"/>
      <c r="D55" s="7">
        <v>332.96</v>
      </c>
      <c r="E55" s="2"/>
      <c r="F55" s="6">
        <f t="shared" si="32"/>
        <v>0</v>
      </c>
      <c r="G55" s="2"/>
      <c r="H55" s="7">
        <v>200</v>
      </c>
      <c r="I55" s="2"/>
      <c r="J55" s="6">
        <f t="shared" si="33"/>
        <v>0</v>
      </c>
      <c r="K55" s="2"/>
      <c r="L55" s="7">
        <f t="shared" si="34"/>
        <v>132.95999999999998</v>
      </c>
      <c r="M55" s="2"/>
      <c r="N55" s="6">
        <f t="shared" si="35"/>
        <v>0.66479999999999995</v>
      </c>
      <c r="O55" s="11"/>
      <c r="P55" s="7">
        <v>656.92</v>
      </c>
      <c r="Q55" s="2"/>
      <c r="R55" s="6">
        <f t="shared" si="36"/>
        <v>0</v>
      </c>
      <c r="S55" s="2"/>
      <c r="T55" s="7">
        <v>800</v>
      </c>
      <c r="U55" s="2"/>
      <c r="V55" s="6">
        <f t="shared" si="37"/>
        <v>0</v>
      </c>
      <c r="W55" s="2"/>
      <c r="X55" s="7">
        <f t="shared" si="38"/>
        <v>-143.08000000000004</v>
      </c>
      <c r="Y55" s="2"/>
      <c r="Z55" s="6">
        <f t="shared" si="39"/>
        <v>-0.17885000000000006</v>
      </c>
    </row>
    <row r="56" spans="1:26" s="24" customFormat="1" hidden="1" outlineLevel="2" x14ac:dyDescent="0.25">
      <c r="A56" s="27"/>
      <c r="B56" s="11" t="str">
        <f>CONCATENATE("          ", "6309", " - ", "TELEPHONE")</f>
        <v xml:space="preserve">          6309 - TELEPHONE</v>
      </c>
      <c r="C56" s="11"/>
      <c r="D56" s="7">
        <v>865.75</v>
      </c>
      <c r="E56" s="2"/>
      <c r="F56" s="6">
        <f t="shared" si="32"/>
        <v>0</v>
      </c>
      <c r="G56" s="2"/>
      <c r="H56" s="7">
        <v>300</v>
      </c>
      <c r="I56" s="2"/>
      <c r="J56" s="6">
        <f t="shared" si="33"/>
        <v>0</v>
      </c>
      <c r="K56" s="2"/>
      <c r="L56" s="7">
        <f t="shared" si="34"/>
        <v>565.75</v>
      </c>
      <c r="M56" s="2"/>
      <c r="N56" s="6">
        <f t="shared" si="35"/>
        <v>1.8858333333333333</v>
      </c>
      <c r="O56" s="11"/>
      <c r="P56" s="7">
        <v>2912.9</v>
      </c>
      <c r="Q56" s="2"/>
      <c r="R56" s="6">
        <f t="shared" si="36"/>
        <v>0</v>
      </c>
      <c r="S56" s="2"/>
      <c r="T56" s="7">
        <v>1200</v>
      </c>
      <c r="U56" s="2"/>
      <c r="V56" s="6">
        <f t="shared" si="37"/>
        <v>0</v>
      </c>
      <c r="W56" s="2"/>
      <c r="X56" s="7">
        <f t="shared" si="38"/>
        <v>1712.9</v>
      </c>
      <c r="Y56" s="2"/>
      <c r="Z56" s="6">
        <f t="shared" si="39"/>
        <v>1.4274166666666668</v>
      </c>
    </row>
    <row r="57" spans="1:26" s="60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5" t="s">
        <v>293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6" t="s">
        <v>277</v>
      </c>
      <c r="C60" s="26"/>
      <c r="D60" s="21">
        <f>+D16-D18+D58</f>
        <v>-49361.08</v>
      </c>
      <c r="E60" s="13"/>
      <c r="F60" s="20">
        <f>IF(D$12=0,0,D60/D$12)</f>
        <v>0</v>
      </c>
      <c r="G60" s="13"/>
      <c r="H60" s="21">
        <f>+H16-H18+H58</f>
        <v>-53034.082559230737</v>
      </c>
      <c r="I60" s="13"/>
      <c r="J60" s="20">
        <f>IF(H$12=0,0,H60/H$12)</f>
        <v>0</v>
      </c>
      <c r="K60" s="15"/>
      <c r="L60" s="21">
        <f>+D60-H60</f>
        <v>3673.0025592307356</v>
      </c>
      <c r="M60" s="15"/>
      <c r="N60" s="20">
        <f>IF(H60=0,0,L60/H60)</f>
        <v>-6.9257397921960256E-2</v>
      </c>
      <c r="O60" s="25"/>
      <c r="P60" s="21">
        <f>+P16-P18+P58</f>
        <v>-182670.56999999998</v>
      </c>
      <c r="Q60" s="13"/>
      <c r="R60" s="20">
        <f>IF(P$12=0,0,P60/P$12)</f>
        <v>0</v>
      </c>
      <c r="S60" s="13"/>
      <c r="T60" s="21">
        <f>+T16-T18+T58</f>
        <v>-210344.49721323067</v>
      </c>
      <c r="U60" s="13"/>
      <c r="V60" s="20">
        <f>IF(T$12=0,0,T60/T$12)</f>
        <v>0</v>
      </c>
      <c r="W60" s="15"/>
      <c r="X60" s="21">
        <f>+P60-T60</f>
        <v>27673.927213230694</v>
      </c>
      <c r="Y60" s="15"/>
      <c r="Z60" s="20">
        <f>IF(T60=0,0,X60/T60)</f>
        <v>-0.13156477863633889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2"/>
      <c r="B62" s="10" t="s">
        <v>128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6" t="s">
        <v>126</v>
      </c>
      <c r="C64" s="26"/>
      <c r="D64" s="31">
        <f>+D60-D62</f>
        <v>-49361.08</v>
      </c>
      <c r="E64" s="13"/>
      <c r="F64" s="33">
        <f>IF(D$12=0,0,D64/D$12)</f>
        <v>0</v>
      </c>
      <c r="G64" s="13"/>
      <c r="H64" s="31">
        <f>+H60-H62</f>
        <v>-53034.082559230737</v>
      </c>
      <c r="I64" s="13"/>
      <c r="J64" s="33">
        <f>IF(H$12=0,0,H64/H$12)</f>
        <v>0</v>
      </c>
      <c r="K64" s="15"/>
      <c r="L64" s="31">
        <f>D64-H64</f>
        <v>3673.0025592307356</v>
      </c>
      <c r="M64" s="15"/>
      <c r="N64" s="33">
        <f>IF(H64=0,0,L64/H64)</f>
        <v>-6.9257397921960256E-2</v>
      </c>
      <c r="O64" s="25"/>
      <c r="P64" s="31">
        <f>+P60-P62</f>
        <v>-182670.56999999998</v>
      </c>
      <c r="Q64" s="13"/>
      <c r="R64" s="33">
        <f>IF(P$12=0,0,P64/P$12)</f>
        <v>0</v>
      </c>
      <c r="S64" s="13"/>
      <c r="T64" s="31">
        <f>+T60-T62</f>
        <v>-210344.49721323067</v>
      </c>
      <c r="U64" s="13"/>
      <c r="V64" s="33">
        <f>IF(T$12=0,0,T64/T$12)</f>
        <v>0</v>
      </c>
      <c r="W64" s="15"/>
      <c r="X64" s="31">
        <f>P64-T64</f>
        <v>27673.927213230694</v>
      </c>
      <c r="Y64" s="15"/>
      <c r="Z64" s="33">
        <f>IF(T64=0,0,X64/T64)</f>
        <v>-0.13156477863633889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6" t="s">
        <v>294</v>
      </c>
      <c r="C67" s="26"/>
      <c r="D67" s="35">
        <f>SUM(D64:D66)</f>
        <v>-49361.08</v>
      </c>
      <c r="E67" s="13"/>
      <c r="F67" s="32">
        <f>IF(D$12=0,0,D67/D$12)</f>
        <v>0</v>
      </c>
      <c r="G67" s="13"/>
      <c r="H67" s="35">
        <f>SUM(H64:H66)</f>
        <v>-53034.082559230737</v>
      </c>
      <c r="I67" s="13"/>
      <c r="J67" s="32">
        <f>IF(H$12=0,0,H67/H$12)</f>
        <v>0</v>
      </c>
      <c r="K67" s="15"/>
      <c r="L67" s="35">
        <f>+D67-H67</f>
        <v>3673.0025592307356</v>
      </c>
      <c r="M67" s="15"/>
      <c r="N67" s="32">
        <f>IF(H67=0,0,L67/H67)</f>
        <v>-6.9257397921960256E-2</v>
      </c>
      <c r="O67" s="25"/>
      <c r="P67" s="35">
        <f>SUM(P64:P66)</f>
        <v>-182670.56999999998</v>
      </c>
      <c r="Q67" s="13"/>
      <c r="R67" s="32">
        <f>IF(P$12=0,0,P67/P$12)</f>
        <v>0</v>
      </c>
      <c r="S67" s="13"/>
      <c r="T67" s="35">
        <f>SUM(T64:T66)</f>
        <v>-210344.49721323067</v>
      </c>
      <c r="U67" s="13"/>
      <c r="V67" s="32">
        <f>IF(T$12=0,0,T67/T$12)</f>
        <v>0</v>
      </c>
      <c r="W67" s="15"/>
      <c r="X67" s="35">
        <f>+P67-T67</f>
        <v>27673.927213230694</v>
      </c>
      <c r="Y67" s="15"/>
      <c r="Z67" s="32">
        <f>IF(T67=0,0,X67/T67)</f>
        <v>-0.13156477863633889</v>
      </c>
    </row>
    <row r="68" spans="1:26" ht="15.75" thickTop="1" x14ac:dyDescent="0.25">
      <c r="A68" s="9"/>
      <c r="C68" s="9"/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59">
        <v>44517.962875613426</v>
      </c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A70" s="9"/>
      <c r="B70" s="62" t="s">
        <v>56</v>
      </c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7"/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","205", " - ", "Maintenance")</f>
        <v>Department 205 - Maintenance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9218.3900000000012</v>
      </c>
      <c r="E18" s="22"/>
      <c r="F18" s="34">
        <f t="shared" ref="F18:F28" si="0">IF(D$12=0,0,D18/D$12)</f>
        <v>0</v>
      </c>
      <c r="G18" s="22"/>
      <c r="H18" s="22">
        <f>SUM(OSRRefH22x_0)</f>
        <v>8863.7082250000003</v>
      </c>
      <c r="I18" s="22"/>
      <c r="J18" s="34">
        <f t="shared" ref="J18:J28" si="1">IF(H$12=0,0,H18/H$12)</f>
        <v>0</v>
      </c>
      <c r="K18" s="4"/>
      <c r="L18" s="22">
        <f t="shared" ref="L18:L28" si="2">+D18-H18</f>
        <v>354.68177500000093</v>
      </c>
      <c r="M18" s="4"/>
      <c r="N18" s="34">
        <f t="shared" ref="N18:N28" si="3">IF(H18=0,0,L18/H18)</f>
        <v>4.0015055324093877E-2</v>
      </c>
      <c r="O18" s="10"/>
      <c r="P18" s="22">
        <f>SUM(OSRRefP22x_0)</f>
        <v>31440.32</v>
      </c>
      <c r="Q18" s="22"/>
      <c r="R18" s="34">
        <f t="shared" ref="R18:R28" si="4">IF(P$12=0,0,P18/P$12)</f>
        <v>0</v>
      </c>
      <c r="S18" s="22"/>
      <c r="T18" s="22">
        <f>SUM(OSRRefT22x_0)</f>
        <v>36503.349610000005</v>
      </c>
      <c r="U18" s="22"/>
      <c r="V18" s="34">
        <f t="shared" ref="V18:V28" si="5">IF(T$12=0,0,T18/T$12)</f>
        <v>0</v>
      </c>
      <c r="W18" s="4"/>
      <c r="X18" s="22">
        <f t="shared" ref="X18:X28" si="6">+P18-T18</f>
        <v>-5063.0296100000051</v>
      </c>
      <c r="Y18" s="4"/>
      <c r="Z18" s="34">
        <f t="shared" ref="Z18:Z28" si="7">IF(T18=0,0,X18/T18)</f>
        <v>-0.13870041144424183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3867.69</v>
      </c>
      <c r="E19" s="1"/>
      <c r="F19" s="5">
        <f t="shared" si="0"/>
        <v>0</v>
      </c>
      <c r="G19" s="1"/>
      <c r="H19" s="1">
        <f>SUM(OSRRefH22_0x_0)</f>
        <v>2274.7332249999999</v>
      </c>
      <c r="I19" s="1"/>
      <c r="J19" s="5">
        <f t="shared" si="1"/>
        <v>0</v>
      </c>
      <c r="K19" s="1"/>
      <c r="L19" s="1">
        <f t="shared" si="2"/>
        <v>1592.9567750000001</v>
      </c>
      <c r="M19" s="1"/>
      <c r="N19" s="5">
        <f t="shared" si="3"/>
        <v>0.70028289800884236</v>
      </c>
      <c r="O19" s="14"/>
      <c r="P19" s="1">
        <f>SUM(OSRRefP22_0x_0)</f>
        <v>10246.25</v>
      </c>
      <c r="Q19" s="1"/>
      <c r="R19" s="5">
        <f t="shared" si="4"/>
        <v>0</v>
      </c>
      <c r="S19" s="1"/>
      <c r="T19" s="1">
        <f>SUM(OSRRefT22_0x_0)</f>
        <v>8259.0396099999998</v>
      </c>
      <c r="U19" s="1"/>
      <c r="V19" s="5">
        <f t="shared" si="5"/>
        <v>0</v>
      </c>
      <c r="W19" s="1"/>
      <c r="X19" s="1">
        <f t="shared" si="6"/>
        <v>1987.2103900000002</v>
      </c>
      <c r="Y19" s="1"/>
      <c r="Z19" s="5">
        <f t="shared" si="7"/>
        <v>0.24061034742997198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487.83</v>
      </c>
      <c r="E20" s="2"/>
      <c r="F20" s="6">
        <f t="shared" si="0"/>
        <v>0</v>
      </c>
      <c r="G20" s="2"/>
      <c r="H20" s="7">
        <v>413.83597500000002</v>
      </c>
      <c r="I20" s="2"/>
      <c r="J20" s="6">
        <f t="shared" si="1"/>
        <v>0</v>
      </c>
      <c r="K20" s="2"/>
      <c r="L20" s="7">
        <f t="shared" si="2"/>
        <v>73.994024999999965</v>
      </c>
      <c r="M20" s="2"/>
      <c r="N20" s="6">
        <f t="shared" si="3"/>
        <v>0.17880036891427808</v>
      </c>
      <c r="O20" s="11"/>
      <c r="P20" s="7">
        <v>1478.46</v>
      </c>
      <c r="Q20" s="2"/>
      <c r="R20" s="6">
        <f t="shared" si="4"/>
        <v>0</v>
      </c>
      <c r="S20" s="2"/>
      <c r="T20" s="7">
        <v>1489.80951</v>
      </c>
      <c r="U20" s="2"/>
      <c r="V20" s="6">
        <f t="shared" si="5"/>
        <v>0</v>
      </c>
      <c r="W20" s="2"/>
      <c r="X20" s="7">
        <f t="shared" si="6"/>
        <v>-11.349510000000009</v>
      </c>
      <c r="Y20" s="2"/>
      <c r="Z20" s="6">
        <f t="shared" si="7"/>
        <v>-7.6180947455490528E-3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352.28</v>
      </c>
      <c r="E21" s="2"/>
      <c r="F21" s="6">
        <f t="shared" si="0"/>
        <v>0</v>
      </c>
      <c r="G21" s="2"/>
      <c r="H21" s="7">
        <v>368.79149999999998</v>
      </c>
      <c r="I21" s="2"/>
      <c r="J21" s="6">
        <f t="shared" si="1"/>
        <v>0</v>
      </c>
      <c r="K21" s="2"/>
      <c r="L21" s="7">
        <f t="shared" si="2"/>
        <v>-16.511500000000012</v>
      </c>
      <c r="M21" s="2"/>
      <c r="N21" s="6">
        <f t="shared" si="3"/>
        <v>-4.4771910415505815E-2</v>
      </c>
      <c r="O21" s="11"/>
      <c r="P21" s="7">
        <v>1061.8499999999999</v>
      </c>
      <c r="Q21" s="2"/>
      <c r="R21" s="6">
        <f t="shared" si="4"/>
        <v>0</v>
      </c>
      <c r="S21" s="2"/>
      <c r="T21" s="7">
        <v>1327.6494</v>
      </c>
      <c r="U21" s="2"/>
      <c r="V21" s="6">
        <f t="shared" si="5"/>
        <v>0</v>
      </c>
      <c r="W21" s="2"/>
      <c r="X21" s="7">
        <f t="shared" si="6"/>
        <v>-265.79940000000011</v>
      </c>
      <c r="Y21" s="2"/>
      <c r="Z21" s="6">
        <f t="shared" si="7"/>
        <v>-0.20020300540187802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696.16</v>
      </c>
      <c r="E22" s="2"/>
      <c r="F22" s="6">
        <f t="shared" si="0"/>
        <v>0</v>
      </c>
      <c r="G22" s="2"/>
      <c r="H22" s="7">
        <v>765</v>
      </c>
      <c r="I22" s="2"/>
      <c r="J22" s="6">
        <f t="shared" si="1"/>
        <v>0</v>
      </c>
      <c r="K22" s="2"/>
      <c r="L22" s="7">
        <f t="shared" si="2"/>
        <v>-68.840000000000032</v>
      </c>
      <c r="M22" s="2"/>
      <c r="N22" s="6">
        <f t="shared" si="3"/>
        <v>-8.9986928104575203E-2</v>
      </c>
      <c r="O22" s="11"/>
      <c r="P22" s="7">
        <v>2795.89</v>
      </c>
      <c r="Q22" s="2"/>
      <c r="R22" s="6">
        <f t="shared" si="4"/>
        <v>0</v>
      </c>
      <c r="S22" s="2"/>
      <c r="T22" s="7">
        <v>2754</v>
      </c>
      <c r="U22" s="2"/>
      <c r="V22" s="6">
        <f t="shared" si="5"/>
        <v>0</v>
      </c>
      <c r="W22" s="2"/>
      <c r="X22" s="7">
        <f t="shared" si="6"/>
        <v>41.889999999999873</v>
      </c>
      <c r="Y22" s="2"/>
      <c r="Z22" s="6">
        <f t="shared" si="7"/>
        <v>1.5210602759622322E-2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16.559999999999999</v>
      </c>
      <c r="E23" s="2"/>
      <c r="F23" s="6">
        <f t="shared" si="0"/>
        <v>0</v>
      </c>
      <c r="G23" s="2"/>
      <c r="H23" s="7">
        <v>11.35575</v>
      </c>
      <c r="I23" s="2"/>
      <c r="J23" s="6">
        <f t="shared" si="1"/>
        <v>0</v>
      </c>
      <c r="K23" s="2"/>
      <c r="L23" s="7">
        <f t="shared" si="2"/>
        <v>5.2042499999999983</v>
      </c>
      <c r="M23" s="2"/>
      <c r="N23" s="6">
        <f t="shared" si="3"/>
        <v>0.45829205468595186</v>
      </c>
      <c r="O23" s="11"/>
      <c r="P23" s="7">
        <v>49.92</v>
      </c>
      <c r="Q23" s="2"/>
      <c r="R23" s="6">
        <f t="shared" si="4"/>
        <v>0</v>
      </c>
      <c r="S23" s="2"/>
      <c r="T23" s="7">
        <v>40.880699999999997</v>
      </c>
      <c r="U23" s="2"/>
      <c r="V23" s="6">
        <f t="shared" si="5"/>
        <v>0</v>
      </c>
      <c r="W23" s="2"/>
      <c r="X23" s="7">
        <f t="shared" si="6"/>
        <v>9.0393000000000043</v>
      </c>
      <c r="Y23" s="2"/>
      <c r="Z23" s="6">
        <f t="shared" si="7"/>
        <v>0.22111411986585369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685.4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685.4</v>
      </c>
      <c r="M24" s="2"/>
      <c r="N24" s="6">
        <f t="shared" si="3"/>
        <v>0</v>
      </c>
      <c r="O24" s="11"/>
      <c r="P24" s="7">
        <v>2056.19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2056.19</v>
      </c>
      <c r="Y24" s="2"/>
      <c r="Z24" s="6">
        <f t="shared" si="7"/>
        <v>0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7">
        <v>1163.8800000000001</v>
      </c>
      <c r="E26" s="2"/>
      <c r="F26" s="6">
        <f t="shared" si="0"/>
        <v>0</v>
      </c>
      <c r="G26" s="2"/>
      <c r="H26" s="7">
        <v>432.6</v>
      </c>
      <c r="I26" s="2"/>
      <c r="J26" s="6">
        <f t="shared" si="1"/>
        <v>0</v>
      </c>
      <c r="K26" s="2"/>
      <c r="L26" s="7">
        <f t="shared" si="2"/>
        <v>731.28000000000009</v>
      </c>
      <c r="M26" s="2"/>
      <c r="N26" s="6">
        <f t="shared" si="3"/>
        <v>1.6904299583911235</v>
      </c>
      <c r="O26" s="11"/>
      <c r="P26" s="7">
        <v>1252.3399999999999</v>
      </c>
      <c r="Q26" s="2"/>
      <c r="R26" s="6">
        <f t="shared" si="4"/>
        <v>0</v>
      </c>
      <c r="S26" s="2"/>
      <c r="T26" s="7">
        <v>1557.36</v>
      </c>
      <c r="U26" s="2"/>
      <c r="V26" s="6">
        <f t="shared" si="5"/>
        <v>0</v>
      </c>
      <c r="W26" s="2"/>
      <c r="X26" s="7">
        <f t="shared" si="6"/>
        <v>-305.02</v>
      </c>
      <c r="Y26" s="2"/>
      <c r="Z26" s="6">
        <f t="shared" si="7"/>
        <v>-0.19585709148815944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7">
        <v>290.58</v>
      </c>
      <c r="E27" s="2"/>
      <c r="F27" s="6">
        <f t="shared" si="0"/>
        <v>0</v>
      </c>
      <c r="G27" s="2"/>
      <c r="H27" s="7">
        <v>108.15</v>
      </c>
      <c r="I27" s="2"/>
      <c r="J27" s="6">
        <f t="shared" si="1"/>
        <v>0</v>
      </c>
      <c r="K27" s="2"/>
      <c r="L27" s="7">
        <f t="shared" si="2"/>
        <v>182.42999999999998</v>
      </c>
      <c r="M27" s="2"/>
      <c r="N27" s="6">
        <f t="shared" si="3"/>
        <v>1.6868238557558943</v>
      </c>
      <c r="O27" s="11"/>
      <c r="P27" s="7">
        <v>871.74</v>
      </c>
      <c r="Q27" s="2"/>
      <c r="R27" s="6">
        <f t="shared" si="4"/>
        <v>0</v>
      </c>
      <c r="S27" s="2"/>
      <c r="T27" s="7">
        <v>389.34</v>
      </c>
      <c r="U27" s="2"/>
      <c r="V27" s="6">
        <f t="shared" si="5"/>
        <v>0</v>
      </c>
      <c r="W27" s="2"/>
      <c r="X27" s="7">
        <f t="shared" si="6"/>
        <v>482.40000000000003</v>
      </c>
      <c r="Y27" s="2"/>
      <c r="Z27" s="6">
        <f t="shared" si="7"/>
        <v>1.239019879796579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7">
        <v>175</v>
      </c>
      <c r="E28" s="2"/>
      <c r="F28" s="6">
        <f t="shared" si="0"/>
        <v>0</v>
      </c>
      <c r="G28" s="2"/>
      <c r="H28" s="7">
        <v>175</v>
      </c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679.86</v>
      </c>
      <c r="Q28" s="2"/>
      <c r="R28" s="6">
        <f t="shared" si="4"/>
        <v>0</v>
      </c>
      <c r="S28" s="2"/>
      <c r="T28" s="7">
        <v>700</v>
      </c>
      <c r="U28" s="2"/>
      <c r="V28" s="6">
        <f t="shared" si="5"/>
        <v>0</v>
      </c>
      <c r="W28" s="2"/>
      <c r="X28" s="7">
        <f t="shared" si="6"/>
        <v>-20.139999999999986</v>
      </c>
      <c r="Y28" s="2"/>
      <c r="Z28" s="6">
        <f t="shared" si="7"/>
        <v>-2.8771428571428552E-2</v>
      </c>
    </row>
    <row r="29" spans="1:26" s="28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5059.3100000000004</v>
      </c>
      <c r="E29" s="1"/>
      <c r="F29" s="5">
        <f t="shared" ref="F29:F39" si="8">IF(D$12=0,0,D29/D$12)</f>
        <v>0</v>
      </c>
      <c r="G29" s="1"/>
      <c r="H29" s="1">
        <f>SUM(OSRRefH22_1x_0)</f>
        <v>5028.9750000000004</v>
      </c>
      <c r="I29" s="1"/>
      <c r="J29" s="5">
        <f t="shared" ref="J29:J39" si="9">IF(H$12=0,0,H29/H$12)</f>
        <v>0</v>
      </c>
      <c r="K29" s="1"/>
      <c r="L29" s="1">
        <f t="shared" ref="L29:L39" si="10">+D29-H29</f>
        <v>30.335000000000036</v>
      </c>
      <c r="M29" s="1"/>
      <c r="N29" s="5">
        <f t="shared" ref="N29:N39" si="11">IF(H29=0,0,L29/H29)</f>
        <v>6.0320443032626002E-3</v>
      </c>
      <c r="O29" s="14"/>
      <c r="P29" s="1">
        <f>SUM(OSRRefP22_1x_0)</f>
        <v>17802.98</v>
      </c>
      <c r="Q29" s="1"/>
      <c r="R29" s="5">
        <f t="shared" ref="R29:R39" si="12">IF(P$12=0,0,P29/P$12)</f>
        <v>0</v>
      </c>
      <c r="S29" s="1"/>
      <c r="T29" s="1">
        <f>SUM(OSRRefT22_1x_0)</f>
        <v>18104.310000000001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-301.33000000000175</v>
      </c>
      <c r="Y29" s="1"/>
      <c r="Z29" s="5">
        <f t="shared" ref="Z29:Z39" si="15">IF(T29=0,0,X29/T29)</f>
        <v>-1.6644102978793544E-2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7">
        <v>5059.3100000000004</v>
      </c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5059.3100000000004</v>
      </c>
      <c r="M31" s="2"/>
      <c r="N31" s="6">
        <f t="shared" si="11"/>
        <v>0</v>
      </c>
      <c r="O31" s="11"/>
      <c r="P31" s="7">
        <v>17802.98</v>
      </c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17802.98</v>
      </c>
      <c r="Y31" s="2"/>
      <c r="Z31" s="6">
        <f t="shared" si="15"/>
        <v>0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5028.9750000000004</v>
      </c>
      <c r="I33" s="2"/>
      <c r="J33" s="6">
        <f t="shared" si="9"/>
        <v>0</v>
      </c>
      <c r="K33" s="2"/>
      <c r="L33" s="7">
        <f t="shared" si="10"/>
        <v>-5028.9750000000004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18104.310000000001</v>
      </c>
      <c r="U33" s="2"/>
      <c r="V33" s="6">
        <f t="shared" si="13"/>
        <v>0</v>
      </c>
      <c r="W33" s="2"/>
      <c r="X33" s="7">
        <f t="shared" si="14"/>
        <v>-18104.310000000001</v>
      </c>
      <c r="Y33" s="2"/>
      <c r="Z33" s="6">
        <f t="shared" si="15"/>
        <v>-1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9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-906.57</v>
      </c>
      <c r="E40" s="1"/>
      <c r="F40" s="5">
        <f t="shared" ref="F40:F46" si="16">IF(D$12=0,0,D40/D$12)</f>
        <v>0</v>
      </c>
      <c r="G40" s="1"/>
      <c r="H40" s="1">
        <f>SUM(OSRRefH22_2x_0)</f>
        <v>-150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-756.57</v>
      </c>
      <c r="M40" s="1"/>
      <c r="N40" s="5">
        <f t="shared" ref="N40:N46" si="19">IF(H40=0,0,L40/H40)</f>
        <v>5.0438000000000001</v>
      </c>
      <c r="O40" s="14"/>
      <c r="P40" s="1">
        <f>SUM(OSRRefP22_2x_0)</f>
        <v>-906.57</v>
      </c>
      <c r="Q40" s="1"/>
      <c r="R40" s="5">
        <f t="shared" ref="R40:R46" si="20">IF(P$12=0,0,P40/P$12)</f>
        <v>0</v>
      </c>
      <c r="S40" s="1"/>
      <c r="T40" s="1">
        <f>SUM(OSRRefT22_2x_0)</f>
        <v>-300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-606.57000000000005</v>
      </c>
      <c r="Y40" s="1"/>
      <c r="Z40" s="5">
        <f t="shared" ref="Z40:Z46" si="23">IF(T40=0,0,X40/T40)</f>
        <v>2.0219</v>
      </c>
    </row>
    <row r="41" spans="1:26" s="24" customFormat="1" hidden="1" outlineLevel="2" x14ac:dyDescent="0.25">
      <c r="A41" s="27"/>
      <c r="B41" s="11" t="str">
        <f>CONCATENATE("          ", "6279", " - ", "GENERAL EXPENSE")</f>
        <v xml:space="preserve">          6279 - GENERAL EXPENSE</v>
      </c>
      <c r="C41" s="11"/>
      <c r="D41" s="7">
        <v>-906.57</v>
      </c>
      <c r="E41" s="2"/>
      <c r="F41" s="6">
        <f t="shared" si="16"/>
        <v>0</v>
      </c>
      <c r="G41" s="2"/>
      <c r="H41" s="7">
        <v>-150</v>
      </c>
      <c r="I41" s="2"/>
      <c r="J41" s="6">
        <f t="shared" si="17"/>
        <v>0</v>
      </c>
      <c r="K41" s="2"/>
      <c r="L41" s="7">
        <f t="shared" si="18"/>
        <v>-756.57</v>
      </c>
      <c r="M41" s="2"/>
      <c r="N41" s="6">
        <f t="shared" si="19"/>
        <v>5.0438000000000001</v>
      </c>
      <c r="O41" s="11"/>
      <c r="P41" s="7">
        <v>-906.57</v>
      </c>
      <c r="Q41" s="2"/>
      <c r="R41" s="6">
        <f t="shared" si="20"/>
        <v>0</v>
      </c>
      <c r="S41" s="2"/>
      <c r="T41" s="7">
        <v>-300</v>
      </c>
      <c r="U41" s="2"/>
      <c r="V41" s="6">
        <f t="shared" si="21"/>
        <v>0</v>
      </c>
      <c r="W41" s="2"/>
      <c r="X41" s="7">
        <f t="shared" si="22"/>
        <v>-606.57000000000005</v>
      </c>
      <c r="Y41" s="2"/>
      <c r="Z41" s="6">
        <f t="shared" si="23"/>
        <v>2.0219</v>
      </c>
    </row>
    <row r="42" spans="1:26" s="28" customFormat="1" outlineLevel="1" collapsed="1" x14ac:dyDescent="0.25">
      <c r="A42" s="29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SUM(OSRRefD22_3x_0)</f>
        <v>33.380000000000003</v>
      </c>
      <c r="E42" s="1"/>
      <c r="F42" s="5">
        <f t="shared" si="16"/>
        <v>0</v>
      </c>
      <c r="G42" s="1"/>
      <c r="H42" s="1">
        <f>SUM(OSRRefH22_3x_0)</f>
        <v>35</v>
      </c>
      <c r="I42" s="1"/>
      <c r="J42" s="5">
        <f t="shared" si="17"/>
        <v>0</v>
      </c>
      <c r="K42" s="1"/>
      <c r="L42" s="1">
        <f t="shared" si="18"/>
        <v>-1.6199999999999974</v>
      </c>
      <c r="M42" s="1"/>
      <c r="N42" s="5">
        <f t="shared" si="19"/>
        <v>-4.6285714285714215E-2</v>
      </c>
      <c r="O42" s="14"/>
      <c r="P42" s="1">
        <f>SUM(OSRRefP22_3x_0)</f>
        <v>133.52000000000001</v>
      </c>
      <c r="Q42" s="1"/>
      <c r="R42" s="5">
        <f t="shared" si="20"/>
        <v>0</v>
      </c>
      <c r="S42" s="1"/>
      <c r="T42" s="1">
        <f>SUM(OSRRefT22_3x_0)</f>
        <v>140</v>
      </c>
      <c r="U42" s="1"/>
      <c r="V42" s="5">
        <f t="shared" si="21"/>
        <v>0</v>
      </c>
      <c r="W42" s="1"/>
      <c r="X42" s="1">
        <f t="shared" si="22"/>
        <v>-6.4799999999999898</v>
      </c>
      <c r="Y42" s="1"/>
      <c r="Z42" s="5">
        <f t="shared" si="23"/>
        <v>-4.6285714285714215E-2</v>
      </c>
    </row>
    <row r="43" spans="1:26" s="24" customFormat="1" hidden="1" outlineLevel="2" x14ac:dyDescent="0.25">
      <c r="A43" s="27"/>
      <c r="B43" s="11" t="str">
        <f>CONCATENATE("          ", "6314", " - ", "LIABILITY INSURANCE")</f>
        <v xml:space="preserve">          6314 - LIABILITY INSURANCE</v>
      </c>
      <c r="C43" s="11"/>
      <c r="D43" s="7">
        <v>33.380000000000003</v>
      </c>
      <c r="E43" s="2"/>
      <c r="F43" s="6">
        <f t="shared" si="16"/>
        <v>0</v>
      </c>
      <c r="G43" s="2"/>
      <c r="H43" s="7">
        <v>35</v>
      </c>
      <c r="I43" s="2"/>
      <c r="J43" s="6">
        <f t="shared" si="17"/>
        <v>0</v>
      </c>
      <c r="K43" s="2"/>
      <c r="L43" s="7">
        <f t="shared" si="18"/>
        <v>-1.6199999999999974</v>
      </c>
      <c r="M43" s="2"/>
      <c r="N43" s="6">
        <f t="shared" si="19"/>
        <v>-4.6285714285714215E-2</v>
      </c>
      <c r="O43" s="11"/>
      <c r="P43" s="7">
        <v>133.52000000000001</v>
      </c>
      <c r="Q43" s="2"/>
      <c r="R43" s="6">
        <f t="shared" si="20"/>
        <v>0</v>
      </c>
      <c r="S43" s="2"/>
      <c r="T43" s="7">
        <v>140</v>
      </c>
      <c r="U43" s="2"/>
      <c r="V43" s="6">
        <f t="shared" si="21"/>
        <v>0</v>
      </c>
      <c r="W43" s="2"/>
      <c r="X43" s="7">
        <f t="shared" si="22"/>
        <v>-6.4799999999999898</v>
      </c>
      <c r="Y43" s="2"/>
      <c r="Z43" s="6">
        <f t="shared" si="23"/>
        <v>-4.6285714285714215E-2</v>
      </c>
    </row>
    <row r="44" spans="1:26" s="28" customFormat="1" outlineLevel="1" collapsed="1" x14ac:dyDescent="0.25">
      <c r="A44" s="29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991.58</v>
      </c>
      <c r="E44" s="1"/>
      <c r="F44" s="5">
        <f t="shared" si="16"/>
        <v>0</v>
      </c>
      <c r="G44" s="1"/>
      <c r="H44" s="1">
        <f>SUM(OSRRefH22_4x_0)</f>
        <v>1500</v>
      </c>
      <c r="I44" s="1"/>
      <c r="J44" s="5">
        <f t="shared" si="17"/>
        <v>0</v>
      </c>
      <c r="K44" s="1"/>
      <c r="L44" s="1">
        <f t="shared" si="18"/>
        <v>-508.41999999999996</v>
      </c>
      <c r="M44" s="1"/>
      <c r="N44" s="5">
        <f t="shared" si="19"/>
        <v>-0.33894666666666662</v>
      </c>
      <c r="O44" s="14"/>
      <c r="P44" s="1">
        <f>SUM(OSRRefP22_4x_0)</f>
        <v>3721.04</v>
      </c>
      <c r="Q44" s="1"/>
      <c r="R44" s="5">
        <f t="shared" si="20"/>
        <v>0</v>
      </c>
      <c r="S44" s="1"/>
      <c r="T44" s="1">
        <f>SUM(OSRRefT22_4x_0)</f>
        <v>4600</v>
      </c>
      <c r="U44" s="1"/>
      <c r="V44" s="5">
        <f t="shared" si="21"/>
        <v>0</v>
      </c>
      <c r="W44" s="1"/>
      <c r="X44" s="1">
        <f t="shared" si="22"/>
        <v>-878.96</v>
      </c>
      <c r="Y44" s="1"/>
      <c r="Z44" s="5">
        <f t="shared" si="23"/>
        <v>-0.19107826086956523</v>
      </c>
    </row>
    <row r="45" spans="1:26" s="24" customFormat="1" hidden="1" outlineLevel="2" x14ac:dyDescent="0.25">
      <c r="A45" s="27"/>
      <c r="B45" s="11" t="str">
        <f>CONCATENATE("          ", "6373", " - ", "MAINTENANCE CONTRACTS")</f>
        <v xml:space="preserve">          6373 - MAINTENANCE CONTRACTS</v>
      </c>
      <c r="C45" s="11"/>
      <c r="D45" s="7">
        <v>918.74</v>
      </c>
      <c r="E45" s="2"/>
      <c r="F45" s="6">
        <f t="shared" si="16"/>
        <v>0</v>
      </c>
      <c r="G45" s="2"/>
      <c r="H45" s="7">
        <v>1500</v>
      </c>
      <c r="I45" s="2"/>
      <c r="J45" s="6">
        <f t="shared" si="17"/>
        <v>0</v>
      </c>
      <c r="K45" s="2"/>
      <c r="L45" s="7">
        <f t="shared" si="18"/>
        <v>-581.26</v>
      </c>
      <c r="M45" s="2"/>
      <c r="N45" s="6">
        <f t="shared" si="19"/>
        <v>-0.38750666666666667</v>
      </c>
      <c r="O45" s="11"/>
      <c r="P45" s="7">
        <v>3648.2</v>
      </c>
      <c r="Q45" s="2"/>
      <c r="R45" s="6">
        <f t="shared" si="20"/>
        <v>0</v>
      </c>
      <c r="S45" s="2"/>
      <c r="T45" s="7">
        <v>4600</v>
      </c>
      <c r="U45" s="2"/>
      <c r="V45" s="6">
        <f t="shared" si="21"/>
        <v>0</v>
      </c>
      <c r="W45" s="2"/>
      <c r="X45" s="7">
        <f t="shared" si="22"/>
        <v>-951.80000000000018</v>
      </c>
      <c r="Y45" s="2"/>
      <c r="Z45" s="6">
        <f t="shared" si="23"/>
        <v>-0.20691304347826092</v>
      </c>
    </row>
    <row r="46" spans="1:26" s="24" customFormat="1" hidden="1" outlineLevel="2" x14ac:dyDescent="0.25">
      <c r="A46" s="27"/>
      <c r="B46" s="11" t="str">
        <f>CONCATENATE("          ", "6375", " - ", "OUTSIDE REPAIRS &amp; MAINTENANCE")</f>
        <v xml:space="preserve">          6375 - OUTSIDE REPAIRS &amp; MAINTENANCE</v>
      </c>
      <c r="C46" s="11"/>
      <c r="D46" s="7">
        <v>72.84</v>
      </c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72.84</v>
      </c>
      <c r="M46" s="2"/>
      <c r="N46" s="6">
        <f t="shared" si="19"/>
        <v>0</v>
      </c>
      <c r="O46" s="11"/>
      <c r="P46" s="7">
        <v>72.84</v>
      </c>
      <c r="Q46" s="2"/>
      <c r="R46" s="6">
        <f t="shared" si="20"/>
        <v>0</v>
      </c>
      <c r="S46" s="2"/>
      <c r="T46" s="7"/>
      <c r="U46" s="2"/>
      <c r="V46" s="6">
        <f t="shared" si="21"/>
        <v>0</v>
      </c>
      <c r="W46" s="2"/>
      <c r="X46" s="7">
        <f t="shared" si="22"/>
        <v>72.84</v>
      </c>
      <c r="Y46" s="2"/>
      <c r="Z46" s="6">
        <f t="shared" si="23"/>
        <v>0</v>
      </c>
    </row>
    <row r="47" spans="1:26" s="28" customFormat="1" outlineLevel="1" collapsed="1" x14ac:dyDescent="0.25">
      <c r="A47" s="29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SUM(OSRRefD22_5x_0)</f>
        <v>0</v>
      </c>
      <c r="E47" s="1"/>
      <c r="F47" s="5">
        <f t="shared" ref="F47:F52" si="24">IF(D$12=0,0,D47/D$12)</f>
        <v>0</v>
      </c>
      <c r="G47" s="1"/>
      <c r="H47" s="1">
        <f>SUM(OSRRefH22_5x_0)</f>
        <v>25</v>
      </c>
      <c r="I47" s="1"/>
      <c r="J47" s="5">
        <f t="shared" ref="J47:J52" si="25">IF(H$12=0,0,H47/H$12)</f>
        <v>0</v>
      </c>
      <c r="K47" s="1"/>
      <c r="L47" s="1">
        <f t="shared" ref="L47:L52" si="26">+D47-H47</f>
        <v>-25</v>
      </c>
      <c r="M47" s="1"/>
      <c r="N47" s="5">
        <f t="shared" ref="N47:N52" si="27">IF(H47=0,0,L47/H47)</f>
        <v>-1</v>
      </c>
      <c r="O47" s="14"/>
      <c r="P47" s="1">
        <f>SUM(OSRRefP22_5x_0)</f>
        <v>0</v>
      </c>
      <c r="Q47" s="1"/>
      <c r="R47" s="5">
        <f t="shared" ref="R47:R52" si="28">IF(P$12=0,0,P47/P$12)</f>
        <v>0</v>
      </c>
      <c r="S47" s="1"/>
      <c r="T47" s="1">
        <f>SUM(OSRRefT22_5x_0)</f>
        <v>100</v>
      </c>
      <c r="U47" s="1"/>
      <c r="V47" s="5">
        <f t="shared" ref="V47:V52" si="29">IF(T$12=0,0,T47/T$12)</f>
        <v>0</v>
      </c>
      <c r="W47" s="1"/>
      <c r="X47" s="1">
        <f t="shared" ref="X47:X52" si="30">+P47-T47</f>
        <v>-100</v>
      </c>
      <c r="Y47" s="1"/>
      <c r="Z47" s="5">
        <f t="shared" ref="Z47:Z52" si="31">IF(T47=0,0,X47/T47)</f>
        <v>-1</v>
      </c>
    </row>
    <row r="48" spans="1:26" s="24" customFormat="1" hidden="1" outlineLevel="2" x14ac:dyDescent="0.25">
      <c r="A48" s="27"/>
      <c r="B48" s="11" t="str">
        <f>CONCATENATE("          ", "6286", " - ", "LAUNDRY EXPENSE")</f>
        <v xml:space="preserve">          6286 - LAUNDRY EXPENSE</v>
      </c>
      <c r="C48" s="11"/>
      <c r="D48" s="7"/>
      <c r="E48" s="2"/>
      <c r="F48" s="6">
        <f t="shared" si="24"/>
        <v>0</v>
      </c>
      <c r="G48" s="2"/>
      <c r="H48" s="7">
        <v>25</v>
      </c>
      <c r="I48" s="2"/>
      <c r="J48" s="6">
        <f t="shared" si="25"/>
        <v>0</v>
      </c>
      <c r="K48" s="2"/>
      <c r="L48" s="7">
        <f t="shared" si="26"/>
        <v>-25</v>
      </c>
      <c r="M48" s="2"/>
      <c r="N48" s="6">
        <f t="shared" si="27"/>
        <v>-1</v>
      </c>
      <c r="O48" s="11"/>
      <c r="P48" s="7"/>
      <c r="Q48" s="2"/>
      <c r="R48" s="6">
        <f t="shared" si="28"/>
        <v>0</v>
      </c>
      <c r="S48" s="2"/>
      <c r="T48" s="7">
        <v>100</v>
      </c>
      <c r="U48" s="2"/>
      <c r="V48" s="6">
        <f t="shared" si="29"/>
        <v>0</v>
      </c>
      <c r="W48" s="2"/>
      <c r="X48" s="7">
        <f t="shared" si="30"/>
        <v>-100</v>
      </c>
      <c r="Y48" s="2"/>
      <c r="Z48" s="6">
        <f t="shared" si="31"/>
        <v>-1</v>
      </c>
    </row>
    <row r="49" spans="1:26" s="28" customFormat="1" outlineLevel="1" collapsed="1" x14ac:dyDescent="0.25">
      <c r="A49" s="29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25</v>
      </c>
      <c r="I49" s="1"/>
      <c r="J49" s="5">
        <f t="shared" si="25"/>
        <v>0</v>
      </c>
      <c r="K49" s="1"/>
      <c r="L49" s="1">
        <f t="shared" si="26"/>
        <v>-25</v>
      </c>
      <c r="M49" s="1"/>
      <c r="N49" s="5">
        <f t="shared" si="27"/>
        <v>-1</v>
      </c>
      <c r="O49" s="14"/>
      <c r="P49" s="1">
        <f>SUM(OSRRefP22_6x_0)</f>
        <v>26.1</v>
      </c>
      <c r="Q49" s="1"/>
      <c r="R49" s="5">
        <f t="shared" si="28"/>
        <v>0</v>
      </c>
      <c r="S49" s="1"/>
      <c r="T49" s="1">
        <f>SUM(OSRRefT22_6x_0)</f>
        <v>5100</v>
      </c>
      <c r="U49" s="1"/>
      <c r="V49" s="5">
        <f t="shared" si="29"/>
        <v>0</v>
      </c>
      <c r="W49" s="1"/>
      <c r="X49" s="1">
        <f t="shared" si="30"/>
        <v>-5073.8999999999996</v>
      </c>
      <c r="Y49" s="1"/>
      <c r="Z49" s="5">
        <f t="shared" si="31"/>
        <v>-0.99488235294117644</v>
      </c>
    </row>
    <row r="50" spans="1:26" s="24" customFormat="1" hidden="1" outlineLevel="2" x14ac:dyDescent="0.25">
      <c r="A50" s="27"/>
      <c r="B50" s="11" t="str">
        <f>CONCATENATE("          ", "6234", " - ", "EXPENDABLE SUPPLIES &amp; EQUIPMEN")</f>
        <v xml:space="preserve">          6234 - EXPENDABLE SUPPLIES &amp; EQUIPMEN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26.1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26.1</v>
      </c>
      <c r="Y50" s="2"/>
      <c r="Z50" s="6">
        <f t="shared" si="31"/>
        <v>0</v>
      </c>
    </row>
    <row r="51" spans="1:26" s="24" customFormat="1" hidden="1" outlineLevel="2" x14ac:dyDescent="0.25">
      <c r="A51" s="27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6">
        <f t="shared" si="24"/>
        <v>0</v>
      </c>
      <c r="G51" s="2"/>
      <c r="H51" s="7">
        <v>25</v>
      </c>
      <c r="I51" s="2"/>
      <c r="J51" s="6">
        <f t="shared" si="25"/>
        <v>0</v>
      </c>
      <c r="K51" s="2"/>
      <c r="L51" s="7">
        <f t="shared" si="26"/>
        <v>-25</v>
      </c>
      <c r="M51" s="2"/>
      <c r="N51" s="6">
        <f t="shared" si="27"/>
        <v>-1</v>
      </c>
      <c r="O51" s="11"/>
      <c r="P51" s="7"/>
      <c r="Q51" s="2"/>
      <c r="R51" s="6">
        <f t="shared" si="28"/>
        <v>0</v>
      </c>
      <c r="S51" s="2"/>
      <c r="T51" s="7">
        <v>100</v>
      </c>
      <c r="U51" s="2"/>
      <c r="V51" s="6">
        <f t="shared" si="29"/>
        <v>0</v>
      </c>
      <c r="W51" s="2"/>
      <c r="X51" s="7">
        <f t="shared" si="30"/>
        <v>-100</v>
      </c>
      <c r="Y51" s="2"/>
      <c r="Z51" s="6">
        <f t="shared" si="31"/>
        <v>-1</v>
      </c>
    </row>
    <row r="52" spans="1:26" s="24" customFormat="1" hidden="1" outlineLevel="2" x14ac:dyDescent="0.25">
      <c r="A52" s="27"/>
      <c r="B52" s="11" t="str">
        <f>CONCATENATE("          ", "6247", " - ", "STORE SUPPLIES")</f>
        <v xml:space="preserve">          6247 - STORE SUPPLIES</v>
      </c>
      <c r="C52" s="11"/>
      <c r="D52" s="7"/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/>
      <c r="Q52" s="2"/>
      <c r="R52" s="6">
        <f t="shared" si="28"/>
        <v>0</v>
      </c>
      <c r="S52" s="2"/>
      <c r="T52" s="7">
        <v>5000</v>
      </c>
      <c r="U52" s="2"/>
      <c r="V52" s="6">
        <f t="shared" si="29"/>
        <v>0</v>
      </c>
      <c r="W52" s="2"/>
      <c r="X52" s="7">
        <f t="shared" si="30"/>
        <v>-5000</v>
      </c>
      <c r="Y52" s="2"/>
      <c r="Z52" s="6">
        <f t="shared" si="31"/>
        <v>-1</v>
      </c>
    </row>
    <row r="53" spans="1:26" s="28" customFormat="1" outlineLevel="1" collapsed="1" x14ac:dyDescent="0.25">
      <c r="A53" s="29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SUM(OSRRefD22_7x_0)</f>
        <v>173</v>
      </c>
      <c r="E53" s="1"/>
      <c r="F53" s="5">
        <f t="shared" ref="F53:F54" si="32">IF(D$12=0,0,D53/D$12)</f>
        <v>0</v>
      </c>
      <c r="G53" s="1"/>
      <c r="H53" s="1">
        <f>SUM(OSRRefH22_7x_0)</f>
        <v>125</v>
      </c>
      <c r="I53" s="1"/>
      <c r="J53" s="5">
        <f t="shared" ref="J53:J54" si="33">IF(H$12=0,0,H53/H$12)</f>
        <v>0</v>
      </c>
      <c r="K53" s="1"/>
      <c r="L53" s="1">
        <f t="shared" ref="L53:L54" si="34">+D53-H53</f>
        <v>48</v>
      </c>
      <c r="M53" s="1"/>
      <c r="N53" s="5">
        <f t="shared" ref="N53:N54" si="35">IF(H53=0,0,L53/H53)</f>
        <v>0.38400000000000001</v>
      </c>
      <c r="O53" s="14"/>
      <c r="P53" s="1">
        <f>SUM(OSRRefP22_7x_0)</f>
        <v>417</v>
      </c>
      <c r="Q53" s="1"/>
      <c r="R53" s="5">
        <f t="shared" ref="R53:R54" si="36">IF(P$12=0,0,P53/P$12)</f>
        <v>0</v>
      </c>
      <c r="S53" s="1"/>
      <c r="T53" s="1">
        <f>SUM(OSRRefT22_7x_0)</f>
        <v>500</v>
      </c>
      <c r="U53" s="1"/>
      <c r="V53" s="5">
        <f t="shared" ref="V53:V54" si="37">IF(T$12=0,0,T53/T$12)</f>
        <v>0</v>
      </c>
      <c r="W53" s="1"/>
      <c r="X53" s="1">
        <f t="shared" ref="X53:X54" si="38">+P53-T53</f>
        <v>-83</v>
      </c>
      <c r="Y53" s="1"/>
      <c r="Z53" s="5">
        <f t="shared" ref="Z53:Z54" si="39">IF(T53=0,0,X53/T53)</f>
        <v>-0.16600000000000001</v>
      </c>
    </row>
    <row r="54" spans="1:26" s="24" customFormat="1" hidden="1" outlineLevel="2" x14ac:dyDescent="0.25">
      <c r="A54" s="27"/>
      <c r="B54" s="11" t="str">
        <f>CONCATENATE("          ", "6309", " - ", "TELEPHONE")</f>
        <v xml:space="preserve">          6309 - TELEPHONE</v>
      </c>
      <c r="C54" s="11"/>
      <c r="D54" s="7">
        <v>173</v>
      </c>
      <c r="E54" s="2"/>
      <c r="F54" s="6">
        <f t="shared" si="32"/>
        <v>0</v>
      </c>
      <c r="G54" s="2"/>
      <c r="H54" s="7">
        <v>125</v>
      </c>
      <c r="I54" s="2"/>
      <c r="J54" s="6">
        <f t="shared" si="33"/>
        <v>0</v>
      </c>
      <c r="K54" s="2"/>
      <c r="L54" s="7">
        <f t="shared" si="34"/>
        <v>48</v>
      </c>
      <c r="M54" s="2"/>
      <c r="N54" s="6">
        <f t="shared" si="35"/>
        <v>0.38400000000000001</v>
      </c>
      <c r="O54" s="11"/>
      <c r="P54" s="7">
        <v>417</v>
      </c>
      <c r="Q54" s="2"/>
      <c r="R54" s="6">
        <f t="shared" si="36"/>
        <v>0</v>
      </c>
      <c r="S54" s="2"/>
      <c r="T54" s="7">
        <v>500</v>
      </c>
      <c r="U54" s="2"/>
      <c r="V54" s="6">
        <f t="shared" si="37"/>
        <v>0</v>
      </c>
      <c r="W54" s="2"/>
      <c r="X54" s="7">
        <f t="shared" si="38"/>
        <v>-83</v>
      </c>
      <c r="Y54" s="2"/>
      <c r="Z54" s="6">
        <f t="shared" si="39"/>
        <v>-0.16600000000000001</v>
      </c>
    </row>
    <row r="55" spans="1:26" s="60" customFormat="1" x14ac:dyDescent="0.2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5" t="s">
        <v>293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6" t="s">
        <v>277</v>
      </c>
      <c r="C58" s="26"/>
      <c r="D58" s="21">
        <f>+D16-D18+D56</f>
        <v>-9218.3900000000012</v>
      </c>
      <c r="E58" s="13"/>
      <c r="F58" s="20">
        <f>IF(D$12=0,0,D58/D$12)</f>
        <v>0</v>
      </c>
      <c r="G58" s="13"/>
      <c r="H58" s="21">
        <f>+H16-H18+H56</f>
        <v>-8863.7082250000003</v>
      </c>
      <c r="I58" s="13"/>
      <c r="J58" s="20">
        <f>IF(H$12=0,0,H58/H$12)</f>
        <v>0</v>
      </c>
      <c r="K58" s="15"/>
      <c r="L58" s="21">
        <f>+D58-H58</f>
        <v>-354.68177500000093</v>
      </c>
      <c r="M58" s="15"/>
      <c r="N58" s="20">
        <f>IF(H58=0,0,L58/H58)</f>
        <v>4.0015055324093877E-2</v>
      </c>
      <c r="O58" s="25"/>
      <c r="P58" s="21">
        <f>+P16-P18+P56</f>
        <v>-31440.32</v>
      </c>
      <c r="Q58" s="13"/>
      <c r="R58" s="20">
        <f>IF(P$12=0,0,P58/P$12)</f>
        <v>0</v>
      </c>
      <c r="S58" s="13"/>
      <c r="T58" s="21">
        <f>+T16-T18+T56</f>
        <v>-36503.349610000005</v>
      </c>
      <c r="U58" s="13"/>
      <c r="V58" s="20">
        <f>IF(T$12=0,0,T58/T$12)</f>
        <v>0</v>
      </c>
      <c r="W58" s="15"/>
      <c r="X58" s="21">
        <f>+P58-T58</f>
        <v>5063.0296100000051</v>
      </c>
      <c r="Y58" s="15"/>
      <c r="Z58" s="20">
        <f>IF(T58=0,0,X58/T58)</f>
        <v>-0.13870041144424183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2"/>
      <c r="B60" s="10" t="s">
        <v>128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6" t="s">
        <v>126</v>
      </c>
      <c r="C62" s="26"/>
      <c r="D62" s="31">
        <f>+D58-D60</f>
        <v>-9218.3900000000012</v>
      </c>
      <c r="E62" s="13"/>
      <c r="F62" s="33">
        <f>IF(D$12=0,0,D62/D$12)</f>
        <v>0</v>
      </c>
      <c r="G62" s="13"/>
      <c r="H62" s="31">
        <f>+H58-H60</f>
        <v>-8863.7082250000003</v>
      </c>
      <c r="I62" s="13"/>
      <c r="J62" s="33">
        <f>IF(H$12=0,0,H62/H$12)</f>
        <v>0</v>
      </c>
      <c r="K62" s="15"/>
      <c r="L62" s="31">
        <f>D62-H62</f>
        <v>-354.68177500000093</v>
      </c>
      <c r="M62" s="15"/>
      <c r="N62" s="33">
        <f>IF(H62=0,0,L62/H62)</f>
        <v>4.0015055324093877E-2</v>
      </c>
      <c r="O62" s="25"/>
      <c r="P62" s="31">
        <f>+P58-P60</f>
        <v>-31440.32</v>
      </c>
      <c r="Q62" s="13"/>
      <c r="R62" s="33">
        <f>IF(P$12=0,0,P62/P$12)</f>
        <v>0</v>
      </c>
      <c r="S62" s="13"/>
      <c r="T62" s="31">
        <f>+T58-T60</f>
        <v>-36503.349610000005</v>
      </c>
      <c r="U62" s="13"/>
      <c r="V62" s="33">
        <f>IF(T$12=0,0,T62/T$12)</f>
        <v>0</v>
      </c>
      <c r="W62" s="15"/>
      <c r="X62" s="31">
        <f>P62-T62</f>
        <v>5063.0296100000051</v>
      </c>
      <c r="Y62" s="15"/>
      <c r="Z62" s="33">
        <f>IF(T62=0,0,X62/T62)</f>
        <v>-0.13870041144424183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6" t="s">
        <v>294</v>
      </c>
      <c r="C65" s="26"/>
      <c r="D65" s="35">
        <f>SUM(D62:D64)</f>
        <v>-9218.3900000000012</v>
      </c>
      <c r="E65" s="13"/>
      <c r="F65" s="32">
        <f>IF(D$12=0,0,D65/D$12)</f>
        <v>0</v>
      </c>
      <c r="G65" s="13"/>
      <c r="H65" s="35">
        <f>SUM(H62:H64)</f>
        <v>-8863.7082250000003</v>
      </c>
      <c r="I65" s="13"/>
      <c r="J65" s="32">
        <f>IF(H$12=0,0,H65/H$12)</f>
        <v>0</v>
      </c>
      <c r="K65" s="15"/>
      <c r="L65" s="35">
        <f>+D65-H65</f>
        <v>-354.68177500000093</v>
      </c>
      <c r="M65" s="15"/>
      <c r="N65" s="32">
        <f>IF(H65=0,0,L65/H65)</f>
        <v>4.0015055324093877E-2</v>
      </c>
      <c r="O65" s="25"/>
      <c r="P65" s="35">
        <f>SUM(P62:P64)</f>
        <v>-31440.32</v>
      </c>
      <c r="Q65" s="13"/>
      <c r="R65" s="32">
        <f>IF(P$12=0,0,P65/P$12)</f>
        <v>0</v>
      </c>
      <c r="S65" s="13"/>
      <c r="T65" s="35">
        <f>SUM(T62:T64)</f>
        <v>-36503.349610000005</v>
      </c>
      <c r="U65" s="13"/>
      <c r="V65" s="32">
        <f>IF(T$12=0,0,T65/T$12)</f>
        <v>0</v>
      </c>
      <c r="W65" s="15"/>
      <c r="X65" s="35">
        <f>+P65-T65</f>
        <v>5063.0296100000051</v>
      </c>
      <c r="Y65" s="15"/>
      <c r="Z65" s="32">
        <f>IF(T65=0,0,X65/T65)</f>
        <v>-0.13870041144424183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6" x14ac:dyDescent="0.25">
      <c r="A67" s="9"/>
      <c r="B67" s="59">
        <v>44517.962875613426</v>
      </c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62" t="s">
        <v>56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57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</sheetPr>
  <dimension ref="A2:Z6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","206", " - ", "Communications")</f>
        <v>Department 206 - Communications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10350.699999999999</v>
      </c>
      <c r="E18" s="22"/>
      <c r="F18" s="34">
        <f t="shared" ref="F18:F28" si="0">IF(D$12=0,0,D18/D$12)</f>
        <v>0</v>
      </c>
      <c r="G18" s="22"/>
      <c r="H18" s="22">
        <f>SUM(OSRRefH22x_0)</f>
        <v>14579.94678461538</v>
      </c>
      <c r="I18" s="22"/>
      <c r="J18" s="34">
        <f t="shared" ref="J18:J28" si="1">IF(H$12=0,0,H18/H$12)</f>
        <v>0</v>
      </c>
      <c r="K18" s="4"/>
      <c r="L18" s="22">
        <f t="shared" ref="L18:L28" si="2">+D18-H18</f>
        <v>-4229.2467846153813</v>
      </c>
      <c r="M18" s="4"/>
      <c r="N18" s="34">
        <f t="shared" ref="N18:N28" si="3">IF(H18=0,0,L18/H18)</f>
        <v>-0.29007285466076199</v>
      </c>
      <c r="O18" s="10"/>
      <c r="P18" s="22">
        <f>SUM(OSRRefP22x_0)</f>
        <v>35891.11</v>
      </c>
      <c r="Q18" s="22"/>
      <c r="R18" s="34">
        <f t="shared" ref="R18:R28" si="4">IF(P$12=0,0,P18/P$12)</f>
        <v>0</v>
      </c>
      <c r="S18" s="22"/>
      <c r="T18" s="22">
        <f>SUM(OSRRefT22x_0)</f>
        <v>55770.138024615386</v>
      </c>
      <c r="U18" s="22"/>
      <c r="V18" s="34">
        <f t="shared" ref="V18:V28" si="5">IF(T$12=0,0,T18/T$12)</f>
        <v>0</v>
      </c>
      <c r="W18" s="4"/>
      <c r="X18" s="22">
        <f t="shared" ref="X18:X28" si="6">+P18-T18</f>
        <v>-19879.028024615385</v>
      </c>
      <c r="Y18" s="4"/>
      <c r="Z18" s="34">
        <f t="shared" ref="Z18:Z28" si="7">IF(T18=0,0,X18/T18)</f>
        <v>-0.35644573832399939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2327.62</v>
      </c>
      <c r="E19" s="1"/>
      <c r="F19" s="5">
        <f t="shared" si="0"/>
        <v>0</v>
      </c>
      <c r="G19" s="1"/>
      <c r="H19" s="1">
        <f>SUM(OSRRefH22_0x_0)</f>
        <v>2696.3467846153799</v>
      </c>
      <c r="I19" s="1"/>
      <c r="J19" s="5">
        <f t="shared" si="1"/>
        <v>0</v>
      </c>
      <c r="K19" s="1"/>
      <c r="L19" s="1">
        <f t="shared" si="2"/>
        <v>-368.72678461537998</v>
      </c>
      <c r="M19" s="1"/>
      <c r="N19" s="5">
        <f t="shared" si="3"/>
        <v>-0.13675050506086034</v>
      </c>
      <c r="O19" s="14"/>
      <c r="P19" s="1">
        <f>SUM(OSRRefP22_0x_0)</f>
        <v>7944.36</v>
      </c>
      <c r="Q19" s="1"/>
      <c r="R19" s="5">
        <f t="shared" si="4"/>
        <v>0</v>
      </c>
      <c r="S19" s="1"/>
      <c r="T19" s="1">
        <f>SUM(OSRRefT22_0x_0)</f>
        <v>10413.578024615381</v>
      </c>
      <c r="U19" s="1"/>
      <c r="V19" s="5">
        <f t="shared" si="5"/>
        <v>0</v>
      </c>
      <c r="W19" s="1"/>
      <c r="X19" s="1">
        <f t="shared" si="6"/>
        <v>-2469.2180246153812</v>
      </c>
      <c r="Y19" s="1"/>
      <c r="Z19" s="5">
        <f t="shared" si="7"/>
        <v>-0.23711523731600218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524.72</v>
      </c>
      <c r="E20" s="2"/>
      <c r="F20" s="6">
        <f t="shared" si="0"/>
        <v>0</v>
      </c>
      <c r="G20" s="2"/>
      <c r="H20" s="7">
        <v>472.9554</v>
      </c>
      <c r="I20" s="2"/>
      <c r="J20" s="6">
        <f t="shared" si="1"/>
        <v>0</v>
      </c>
      <c r="K20" s="2"/>
      <c r="L20" s="7">
        <f t="shared" si="2"/>
        <v>51.76460000000003</v>
      </c>
      <c r="M20" s="2"/>
      <c r="N20" s="6">
        <f t="shared" si="3"/>
        <v>0.10944922079333491</v>
      </c>
      <c r="O20" s="11"/>
      <c r="P20" s="7">
        <v>1848.82</v>
      </c>
      <c r="Q20" s="2"/>
      <c r="R20" s="6">
        <f t="shared" si="4"/>
        <v>0</v>
      </c>
      <c r="S20" s="2"/>
      <c r="T20" s="7">
        <v>2339.36904</v>
      </c>
      <c r="U20" s="2"/>
      <c r="V20" s="6">
        <f t="shared" si="5"/>
        <v>0</v>
      </c>
      <c r="W20" s="2"/>
      <c r="X20" s="7">
        <f t="shared" si="6"/>
        <v>-490.5490400000001</v>
      </c>
      <c r="Y20" s="2"/>
      <c r="Z20" s="6">
        <f t="shared" si="7"/>
        <v>-0.20969288368456826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117.5</v>
      </c>
      <c r="E21" s="2"/>
      <c r="F21" s="6">
        <f t="shared" si="0"/>
        <v>0</v>
      </c>
      <c r="G21" s="2"/>
      <c r="H21" s="7">
        <v>29.077999999999999</v>
      </c>
      <c r="I21" s="2"/>
      <c r="J21" s="6">
        <f t="shared" si="1"/>
        <v>0</v>
      </c>
      <c r="K21" s="2"/>
      <c r="L21" s="7">
        <f t="shared" si="2"/>
        <v>88.421999999999997</v>
      </c>
      <c r="M21" s="2"/>
      <c r="N21" s="6">
        <f t="shared" si="3"/>
        <v>3.040855629685673</v>
      </c>
      <c r="O21" s="11"/>
      <c r="P21" s="7">
        <v>356.7</v>
      </c>
      <c r="Q21" s="2"/>
      <c r="R21" s="6">
        <f t="shared" si="4"/>
        <v>0</v>
      </c>
      <c r="S21" s="2"/>
      <c r="T21" s="7">
        <v>104.6808</v>
      </c>
      <c r="U21" s="2"/>
      <c r="V21" s="6">
        <f t="shared" si="5"/>
        <v>0</v>
      </c>
      <c r="W21" s="2"/>
      <c r="X21" s="7">
        <f t="shared" si="6"/>
        <v>252.01919999999998</v>
      </c>
      <c r="Y21" s="2"/>
      <c r="Z21" s="6">
        <f t="shared" si="7"/>
        <v>2.4075016621959326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700.87</v>
      </c>
      <c r="E22" s="2"/>
      <c r="F22" s="6">
        <f t="shared" si="0"/>
        <v>0</v>
      </c>
      <c r="G22" s="2"/>
      <c r="H22" s="7">
        <v>1594.61538461538</v>
      </c>
      <c r="I22" s="2"/>
      <c r="J22" s="6">
        <f t="shared" si="1"/>
        <v>0</v>
      </c>
      <c r="K22" s="2"/>
      <c r="L22" s="7">
        <f t="shared" si="2"/>
        <v>-893.74538461537998</v>
      </c>
      <c r="M22" s="2"/>
      <c r="N22" s="6">
        <f t="shared" si="3"/>
        <v>-0.56047708634828619</v>
      </c>
      <c r="O22" s="11"/>
      <c r="P22" s="7">
        <v>2814.73</v>
      </c>
      <c r="Q22" s="2"/>
      <c r="R22" s="6">
        <f t="shared" si="4"/>
        <v>0</v>
      </c>
      <c r="S22" s="2"/>
      <c r="T22" s="7">
        <v>5740.6153846153802</v>
      </c>
      <c r="U22" s="2"/>
      <c r="V22" s="6">
        <f t="shared" si="5"/>
        <v>0</v>
      </c>
      <c r="W22" s="2"/>
      <c r="X22" s="7">
        <f t="shared" si="6"/>
        <v>-2925.8853846153802</v>
      </c>
      <c r="Y22" s="2"/>
      <c r="Z22" s="6">
        <f t="shared" si="7"/>
        <v>-0.50968148684139958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23.68</v>
      </c>
      <c r="E23" s="2"/>
      <c r="F23" s="6">
        <f t="shared" si="0"/>
        <v>0</v>
      </c>
      <c r="G23" s="2"/>
      <c r="H23" s="7">
        <v>19.698</v>
      </c>
      <c r="I23" s="2"/>
      <c r="J23" s="6">
        <f t="shared" si="1"/>
        <v>0</v>
      </c>
      <c r="K23" s="2"/>
      <c r="L23" s="7">
        <f t="shared" si="2"/>
        <v>3.9819999999999993</v>
      </c>
      <c r="M23" s="2"/>
      <c r="N23" s="6">
        <f t="shared" si="3"/>
        <v>0.2021525027921616</v>
      </c>
      <c r="O23" s="11"/>
      <c r="P23" s="7">
        <v>71.900000000000006</v>
      </c>
      <c r="Q23" s="2"/>
      <c r="R23" s="6">
        <f t="shared" si="4"/>
        <v>0</v>
      </c>
      <c r="S23" s="2"/>
      <c r="T23" s="7">
        <v>70.912800000000004</v>
      </c>
      <c r="U23" s="2"/>
      <c r="V23" s="6">
        <f t="shared" si="5"/>
        <v>0</v>
      </c>
      <c r="W23" s="2"/>
      <c r="X23" s="7">
        <f t="shared" si="6"/>
        <v>0.98720000000000141</v>
      </c>
      <c r="Y23" s="2"/>
      <c r="Z23" s="6">
        <f t="shared" si="7"/>
        <v>1.3921323089766605E-2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7">
        <v>414.9</v>
      </c>
      <c r="E26" s="2"/>
      <c r="F26" s="6">
        <f t="shared" si="0"/>
        <v>0</v>
      </c>
      <c r="G26" s="2"/>
      <c r="H26" s="7">
        <v>185.4</v>
      </c>
      <c r="I26" s="2"/>
      <c r="J26" s="6">
        <f t="shared" si="1"/>
        <v>0</v>
      </c>
      <c r="K26" s="2"/>
      <c r="L26" s="7">
        <f t="shared" si="2"/>
        <v>229.49999999999997</v>
      </c>
      <c r="M26" s="2"/>
      <c r="N26" s="6">
        <f t="shared" si="3"/>
        <v>1.2378640776699028</v>
      </c>
      <c r="O26" s="11"/>
      <c r="P26" s="7">
        <v>1244.7</v>
      </c>
      <c r="Q26" s="2"/>
      <c r="R26" s="6">
        <f t="shared" si="4"/>
        <v>0</v>
      </c>
      <c r="S26" s="2"/>
      <c r="T26" s="7">
        <v>667.44</v>
      </c>
      <c r="U26" s="2"/>
      <c r="V26" s="6">
        <f t="shared" si="5"/>
        <v>0</v>
      </c>
      <c r="W26" s="2"/>
      <c r="X26" s="7">
        <f t="shared" si="6"/>
        <v>577.26</v>
      </c>
      <c r="Y26" s="2"/>
      <c r="Z26" s="6">
        <f t="shared" si="7"/>
        <v>0.86488673139158567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7">
        <v>332.1</v>
      </c>
      <c r="E27" s="2"/>
      <c r="F27" s="6">
        <f t="shared" si="0"/>
        <v>0</v>
      </c>
      <c r="G27" s="2"/>
      <c r="H27" s="7">
        <v>219.6</v>
      </c>
      <c r="I27" s="2"/>
      <c r="J27" s="6">
        <f t="shared" si="1"/>
        <v>0</v>
      </c>
      <c r="K27" s="2"/>
      <c r="L27" s="7">
        <f t="shared" si="2"/>
        <v>112.50000000000003</v>
      </c>
      <c r="M27" s="2"/>
      <c r="N27" s="6">
        <f t="shared" si="3"/>
        <v>0.51229508196721329</v>
      </c>
      <c r="O27" s="11"/>
      <c r="P27" s="7">
        <v>996.3</v>
      </c>
      <c r="Q27" s="2"/>
      <c r="R27" s="6">
        <f t="shared" si="4"/>
        <v>0</v>
      </c>
      <c r="S27" s="2"/>
      <c r="T27" s="7">
        <v>790.56</v>
      </c>
      <c r="U27" s="2"/>
      <c r="V27" s="6">
        <f t="shared" si="5"/>
        <v>0</v>
      </c>
      <c r="W27" s="2"/>
      <c r="X27" s="7">
        <f t="shared" si="6"/>
        <v>205.74</v>
      </c>
      <c r="Y27" s="2"/>
      <c r="Z27" s="6">
        <f t="shared" si="7"/>
        <v>0.2602459016393443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7">
        <v>213.85</v>
      </c>
      <c r="E28" s="2"/>
      <c r="F28" s="6">
        <f t="shared" si="0"/>
        <v>0</v>
      </c>
      <c r="G28" s="2"/>
      <c r="H28" s="7">
        <v>175</v>
      </c>
      <c r="I28" s="2"/>
      <c r="J28" s="6">
        <f t="shared" si="1"/>
        <v>0</v>
      </c>
      <c r="K28" s="2"/>
      <c r="L28" s="7">
        <f t="shared" si="2"/>
        <v>38.849999999999994</v>
      </c>
      <c r="M28" s="2"/>
      <c r="N28" s="6">
        <f t="shared" si="3"/>
        <v>0.22199999999999998</v>
      </c>
      <c r="O28" s="11"/>
      <c r="P28" s="7">
        <v>611.21</v>
      </c>
      <c r="Q28" s="2"/>
      <c r="R28" s="6">
        <f t="shared" si="4"/>
        <v>0</v>
      </c>
      <c r="S28" s="2"/>
      <c r="T28" s="7">
        <v>700</v>
      </c>
      <c r="U28" s="2"/>
      <c r="V28" s="6">
        <f t="shared" si="5"/>
        <v>0</v>
      </c>
      <c r="W28" s="2"/>
      <c r="X28" s="7">
        <f t="shared" si="6"/>
        <v>-88.789999999999964</v>
      </c>
      <c r="Y28" s="2"/>
      <c r="Z28" s="6">
        <f t="shared" si="7"/>
        <v>-0.12684285714285709</v>
      </c>
    </row>
    <row r="29" spans="1:26" s="28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7640.66</v>
      </c>
      <c r="E29" s="1"/>
      <c r="F29" s="5">
        <f t="shared" ref="F29:F39" si="8">IF(D$12=0,0,D29/D$12)</f>
        <v>0</v>
      </c>
      <c r="G29" s="1"/>
      <c r="H29" s="1">
        <f>SUM(OSRRefH22_1x_0)</f>
        <v>9194.6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-1553.9400000000005</v>
      </c>
      <c r="M29" s="1"/>
      <c r="N29" s="5">
        <f t="shared" ref="N29:N39" si="11">IF(H29=0,0,L29/H29)</f>
        <v>-0.16900572074913542</v>
      </c>
      <c r="O29" s="14"/>
      <c r="P29" s="1">
        <f>SUM(OSRRefP22_1x_0)</f>
        <v>26916.45</v>
      </c>
      <c r="Q29" s="1"/>
      <c r="R29" s="5">
        <f t="shared" ref="R29:R39" si="12">IF(P$12=0,0,P29/P$12)</f>
        <v>0</v>
      </c>
      <c r="S29" s="1"/>
      <c r="T29" s="1">
        <f>SUM(OSRRefT22_1x_0)</f>
        <v>33100.559999999998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-6184.1099999999969</v>
      </c>
      <c r="Y29" s="1"/>
      <c r="Z29" s="5">
        <f t="shared" ref="Z29:Z39" si="15">IF(T29=0,0,X29/T29)</f>
        <v>-0.18682795698924723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7">
        <v>6407.25</v>
      </c>
      <c r="E33" s="2"/>
      <c r="F33" s="6">
        <f t="shared" si="8"/>
        <v>0</v>
      </c>
      <c r="G33" s="2"/>
      <c r="H33" s="7">
        <v>5994.6</v>
      </c>
      <c r="I33" s="2"/>
      <c r="J33" s="6">
        <f t="shared" si="9"/>
        <v>0</v>
      </c>
      <c r="K33" s="2"/>
      <c r="L33" s="7">
        <f t="shared" si="10"/>
        <v>412.64999999999964</v>
      </c>
      <c r="M33" s="2"/>
      <c r="N33" s="6">
        <f t="shared" si="11"/>
        <v>6.8836953257932071E-2</v>
      </c>
      <c r="O33" s="11"/>
      <c r="P33" s="7">
        <v>19708.2</v>
      </c>
      <c r="Q33" s="2"/>
      <c r="R33" s="6">
        <f t="shared" si="12"/>
        <v>0</v>
      </c>
      <c r="S33" s="2"/>
      <c r="T33" s="7">
        <v>21580.560000000001</v>
      </c>
      <c r="U33" s="2"/>
      <c r="V33" s="6">
        <f t="shared" si="13"/>
        <v>0</v>
      </c>
      <c r="W33" s="2"/>
      <c r="X33" s="7">
        <f t="shared" si="14"/>
        <v>-1872.3600000000006</v>
      </c>
      <c r="Y33" s="2"/>
      <c r="Z33" s="6">
        <f t="shared" si="15"/>
        <v>-8.6761418610082436E-2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0</v>
      </c>
      <c r="Q36" s="2"/>
      <c r="R36" s="6">
        <f t="shared" si="12"/>
        <v>0</v>
      </c>
      <c r="S36" s="2"/>
      <c r="T36" s="7">
        <v>8320</v>
      </c>
      <c r="U36" s="2"/>
      <c r="V36" s="6">
        <f t="shared" si="13"/>
        <v>0</v>
      </c>
      <c r="W36" s="2"/>
      <c r="X36" s="7">
        <f t="shared" si="14"/>
        <v>-8320</v>
      </c>
      <c r="Y36" s="2"/>
      <c r="Z36" s="6">
        <f t="shared" si="15"/>
        <v>-1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>
        <v>1233.4100000000001</v>
      </c>
      <c r="E37" s="2"/>
      <c r="F37" s="6">
        <f t="shared" si="8"/>
        <v>0</v>
      </c>
      <c r="G37" s="2"/>
      <c r="H37" s="7">
        <v>3200</v>
      </c>
      <c r="I37" s="2"/>
      <c r="J37" s="6">
        <f t="shared" si="9"/>
        <v>0</v>
      </c>
      <c r="K37" s="2"/>
      <c r="L37" s="7">
        <f t="shared" si="10"/>
        <v>-1966.59</v>
      </c>
      <c r="M37" s="2"/>
      <c r="N37" s="6">
        <f t="shared" si="11"/>
        <v>-0.61455937500000002</v>
      </c>
      <c r="O37" s="11"/>
      <c r="P37" s="7">
        <v>7208.25</v>
      </c>
      <c r="Q37" s="2"/>
      <c r="R37" s="6">
        <f t="shared" si="12"/>
        <v>0</v>
      </c>
      <c r="S37" s="2"/>
      <c r="T37" s="7">
        <v>3200</v>
      </c>
      <c r="U37" s="2"/>
      <c r="V37" s="6">
        <f t="shared" si="13"/>
        <v>0</v>
      </c>
      <c r="W37" s="2"/>
      <c r="X37" s="7">
        <f t="shared" si="14"/>
        <v>4008.25</v>
      </c>
      <c r="Y37" s="2"/>
      <c r="Z37" s="6">
        <f t="shared" si="15"/>
        <v>1.2525781250000001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346.42</v>
      </c>
      <c r="E40" s="1"/>
      <c r="F40" s="5">
        <f t="shared" ref="F40:F46" si="16">IF(D$12=0,0,D40/D$12)</f>
        <v>0</v>
      </c>
      <c r="G40" s="1"/>
      <c r="H40" s="1">
        <f>SUM(OSRRefH22_2x_0)</f>
        <v>417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-70.579999999999984</v>
      </c>
      <c r="M40" s="1"/>
      <c r="N40" s="5">
        <f t="shared" ref="N40:N46" si="19">IF(H40=0,0,L40/H40)</f>
        <v>-0.16925659472422058</v>
      </c>
      <c r="O40" s="14"/>
      <c r="P40" s="1">
        <f>SUM(OSRRefP22_2x_0)</f>
        <v>746.44</v>
      </c>
      <c r="Q40" s="1"/>
      <c r="R40" s="5">
        <f t="shared" ref="R40:R46" si="20">IF(P$12=0,0,P40/P$12)</f>
        <v>0</v>
      </c>
      <c r="S40" s="1"/>
      <c r="T40" s="1">
        <f>SUM(OSRRefT22_2x_0)</f>
        <v>1668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-921.56</v>
      </c>
      <c r="Y40" s="1"/>
      <c r="Z40" s="5">
        <f t="shared" ref="Z40:Z46" si="23">IF(T40=0,0,X40/T40)</f>
        <v>-0.55249400479616306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7">
        <v>346.42</v>
      </c>
      <c r="E41" s="2"/>
      <c r="F41" s="6">
        <f t="shared" si="16"/>
        <v>0</v>
      </c>
      <c r="G41" s="2"/>
      <c r="H41" s="7">
        <v>417</v>
      </c>
      <c r="I41" s="2"/>
      <c r="J41" s="6">
        <f t="shared" si="17"/>
        <v>0</v>
      </c>
      <c r="K41" s="2"/>
      <c r="L41" s="7">
        <f t="shared" si="18"/>
        <v>-70.579999999999984</v>
      </c>
      <c r="M41" s="2"/>
      <c r="N41" s="6">
        <f t="shared" si="19"/>
        <v>-0.16925659472422058</v>
      </c>
      <c r="O41" s="11"/>
      <c r="P41" s="7">
        <v>746.44</v>
      </c>
      <c r="Q41" s="2"/>
      <c r="R41" s="6">
        <f t="shared" si="20"/>
        <v>0</v>
      </c>
      <c r="S41" s="2"/>
      <c r="T41" s="7">
        <v>1668</v>
      </c>
      <c r="U41" s="2"/>
      <c r="V41" s="6">
        <f t="shared" si="21"/>
        <v>0</v>
      </c>
      <c r="W41" s="2"/>
      <c r="X41" s="7">
        <f t="shared" si="22"/>
        <v>-921.56</v>
      </c>
      <c r="Y41" s="2"/>
      <c r="Z41" s="6">
        <f t="shared" si="23"/>
        <v>-0.55249400479616306</v>
      </c>
    </row>
    <row r="42" spans="1:26" s="28" customFormat="1" outlineLevel="1" collapsed="1" x14ac:dyDescent="0.25">
      <c r="A42" s="29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4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500</v>
      </c>
      <c r="U42" s="1"/>
      <c r="V42" s="5">
        <f t="shared" si="21"/>
        <v>0</v>
      </c>
      <c r="W42" s="1"/>
      <c r="X42" s="1">
        <f t="shared" si="22"/>
        <v>-500</v>
      </c>
      <c r="Y42" s="1"/>
      <c r="Z42" s="5">
        <f t="shared" si="23"/>
        <v>-1</v>
      </c>
    </row>
    <row r="43" spans="1:26" s="24" customFormat="1" hidden="1" outlineLevel="2" x14ac:dyDescent="0.25">
      <c r="A43" s="27"/>
      <c r="B43" s="11" t="str">
        <f>CONCATENATE("          ", "6277", " - ", "EMPLOYEE APPRECIATION")</f>
        <v xml:space="preserve">          6277 - EMPLOYEE APPRECIATION</v>
      </c>
      <c r="C43" s="11"/>
      <c r="D43" s="7"/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/>
      <c r="Q43" s="2"/>
      <c r="R43" s="6">
        <f t="shared" si="20"/>
        <v>0</v>
      </c>
      <c r="S43" s="2"/>
      <c r="T43" s="7">
        <v>500</v>
      </c>
      <c r="U43" s="2"/>
      <c r="V43" s="6">
        <f t="shared" si="21"/>
        <v>0</v>
      </c>
      <c r="W43" s="2"/>
      <c r="X43" s="7">
        <f t="shared" si="22"/>
        <v>-500</v>
      </c>
      <c r="Y43" s="2"/>
      <c r="Z43" s="6">
        <f t="shared" si="23"/>
        <v>-1</v>
      </c>
    </row>
    <row r="44" spans="1:26" s="28" customFormat="1" outlineLevel="1" collapsed="1" x14ac:dyDescent="0.25">
      <c r="A44" s="29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1600</v>
      </c>
      <c r="I44" s="1"/>
      <c r="J44" s="5">
        <f t="shared" si="17"/>
        <v>0</v>
      </c>
      <c r="K44" s="1"/>
      <c r="L44" s="1">
        <f t="shared" si="18"/>
        <v>-1600</v>
      </c>
      <c r="M44" s="1"/>
      <c r="N44" s="5">
        <f t="shared" si="19"/>
        <v>-1</v>
      </c>
      <c r="O44" s="14"/>
      <c r="P44" s="1">
        <f>SUM(OSRRefP22_4x_0)</f>
        <v>63.36</v>
      </c>
      <c r="Q44" s="1"/>
      <c r="R44" s="5">
        <f t="shared" si="20"/>
        <v>0</v>
      </c>
      <c r="S44" s="1"/>
      <c r="T44" s="1">
        <f>SUM(OSRRefT22_4x_0)</f>
        <v>6400</v>
      </c>
      <c r="U44" s="1"/>
      <c r="V44" s="5">
        <f t="shared" si="21"/>
        <v>0</v>
      </c>
      <c r="W44" s="1"/>
      <c r="X44" s="1">
        <f t="shared" si="22"/>
        <v>-6336.64</v>
      </c>
      <c r="Y44" s="1"/>
      <c r="Z44" s="5">
        <f t="shared" si="23"/>
        <v>-0.99010000000000009</v>
      </c>
    </row>
    <row r="45" spans="1:26" s="24" customFormat="1" hidden="1" outlineLevel="2" x14ac:dyDescent="0.25">
      <c r="A45" s="27"/>
      <c r="B45" s="11" t="str">
        <f>CONCATENATE("          ", "6371", " - ", "COMPUTER SOFTWARE MAINTENANCE")</f>
        <v xml:space="preserve">          6371 - COMPUTER SOFTWARE MAINTENANCE</v>
      </c>
      <c r="C45" s="11"/>
      <c r="D45" s="7"/>
      <c r="E45" s="2"/>
      <c r="F45" s="6">
        <f t="shared" si="16"/>
        <v>0</v>
      </c>
      <c r="G45" s="2"/>
      <c r="H45" s="7">
        <v>1600</v>
      </c>
      <c r="I45" s="2"/>
      <c r="J45" s="6">
        <f t="shared" si="17"/>
        <v>0</v>
      </c>
      <c r="K45" s="2"/>
      <c r="L45" s="7">
        <f t="shared" si="18"/>
        <v>-1600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6400</v>
      </c>
      <c r="U45" s="2"/>
      <c r="V45" s="6">
        <f t="shared" si="21"/>
        <v>0</v>
      </c>
      <c r="W45" s="2"/>
      <c r="X45" s="7">
        <f t="shared" si="22"/>
        <v>-6400</v>
      </c>
      <c r="Y45" s="2"/>
      <c r="Z45" s="6">
        <f t="shared" si="23"/>
        <v>-1</v>
      </c>
    </row>
    <row r="46" spans="1:26" s="24" customFormat="1" hidden="1" outlineLevel="2" x14ac:dyDescent="0.25">
      <c r="A46" s="27"/>
      <c r="B46" s="11" t="str">
        <f>CONCATENATE("          ", "6375", " - ", "OUTSIDE REPAIRS &amp; MAINTENANCE")</f>
        <v xml:space="preserve">          6375 - OUTSIDE REPAIRS &amp; MAINTENANCE</v>
      </c>
      <c r="C46" s="11"/>
      <c r="D46" s="7"/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0</v>
      </c>
      <c r="M46" s="2"/>
      <c r="N46" s="6">
        <f t="shared" si="19"/>
        <v>0</v>
      </c>
      <c r="O46" s="11"/>
      <c r="P46" s="7">
        <v>63.36</v>
      </c>
      <c r="Q46" s="2"/>
      <c r="R46" s="6">
        <f t="shared" si="20"/>
        <v>0</v>
      </c>
      <c r="S46" s="2"/>
      <c r="T46" s="7"/>
      <c r="U46" s="2"/>
      <c r="V46" s="6">
        <f t="shared" si="21"/>
        <v>0</v>
      </c>
      <c r="W46" s="2"/>
      <c r="X46" s="7">
        <f t="shared" si="22"/>
        <v>63.36</v>
      </c>
      <c r="Y46" s="2"/>
      <c r="Z46" s="6">
        <f t="shared" si="23"/>
        <v>0</v>
      </c>
    </row>
    <row r="47" spans="1:26" s="28" customFormat="1" outlineLevel="1" collapsed="1" x14ac:dyDescent="0.25">
      <c r="A47" s="29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SUM(OSRRefD22_5x_0)</f>
        <v>0</v>
      </c>
      <c r="E47" s="1"/>
      <c r="F47" s="5">
        <f t="shared" ref="F47:F51" si="24">IF(D$12=0,0,D47/D$12)</f>
        <v>0</v>
      </c>
      <c r="G47" s="1"/>
      <c r="H47" s="1">
        <f>SUM(OSRRefH22_5x_0)</f>
        <v>600</v>
      </c>
      <c r="I47" s="1"/>
      <c r="J47" s="5">
        <f t="shared" ref="J47:J51" si="25">IF(H$12=0,0,H47/H$12)</f>
        <v>0</v>
      </c>
      <c r="K47" s="1"/>
      <c r="L47" s="1">
        <f t="shared" ref="L47:L51" si="26">+D47-H47</f>
        <v>-600</v>
      </c>
      <c r="M47" s="1"/>
      <c r="N47" s="5">
        <f t="shared" ref="N47:N51" si="27">IF(H47=0,0,L47/H47)</f>
        <v>-1</v>
      </c>
      <c r="O47" s="14"/>
      <c r="P47" s="1">
        <f>SUM(OSRRefP22_5x_0)</f>
        <v>4.5</v>
      </c>
      <c r="Q47" s="1"/>
      <c r="R47" s="5">
        <f t="shared" ref="R47:R51" si="28">IF(P$12=0,0,P47/P$12)</f>
        <v>0</v>
      </c>
      <c r="S47" s="1"/>
      <c r="T47" s="1">
        <f>SUM(OSRRefT22_5x_0)</f>
        <v>2400</v>
      </c>
      <c r="U47" s="1"/>
      <c r="V47" s="5">
        <f t="shared" ref="V47:V51" si="29">IF(T$12=0,0,T47/T$12)</f>
        <v>0</v>
      </c>
      <c r="W47" s="1"/>
      <c r="X47" s="1">
        <f t="shared" ref="X47:X51" si="30">+P47-T47</f>
        <v>-2395.5</v>
      </c>
      <c r="Y47" s="1"/>
      <c r="Z47" s="5">
        <f t="shared" ref="Z47:Z51" si="31">IF(T47=0,0,X47/T47)</f>
        <v>-0.99812500000000004</v>
      </c>
    </row>
    <row r="48" spans="1:26" s="24" customFormat="1" hidden="1" outlineLevel="2" x14ac:dyDescent="0.25">
      <c r="A48" s="27"/>
      <c r="B48" s="11" t="str">
        <f>CONCATENATE("          ", "6241", " - ", "OFFICE EXPENSE")</f>
        <v xml:space="preserve">          6241 - OFFICE EXPENSE</v>
      </c>
      <c r="C48" s="11"/>
      <c r="D48" s="7"/>
      <c r="E48" s="2"/>
      <c r="F48" s="6">
        <f t="shared" si="24"/>
        <v>0</v>
      </c>
      <c r="G48" s="2"/>
      <c r="H48" s="7">
        <v>600</v>
      </c>
      <c r="I48" s="2"/>
      <c r="J48" s="6">
        <f t="shared" si="25"/>
        <v>0</v>
      </c>
      <c r="K48" s="2"/>
      <c r="L48" s="7">
        <f t="shared" si="26"/>
        <v>-600</v>
      </c>
      <c r="M48" s="2"/>
      <c r="N48" s="6">
        <f t="shared" si="27"/>
        <v>-1</v>
      </c>
      <c r="O48" s="11"/>
      <c r="P48" s="7">
        <v>4.5</v>
      </c>
      <c r="Q48" s="2"/>
      <c r="R48" s="6">
        <f t="shared" si="28"/>
        <v>0</v>
      </c>
      <c r="S48" s="2"/>
      <c r="T48" s="7">
        <v>2400</v>
      </c>
      <c r="U48" s="2"/>
      <c r="V48" s="6">
        <f t="shared" si="29"/>
        <v>0</v>
      </c>
      <c r="W48" s="2"/>
      <c r="X48" s="7">
        <f t="shared" si="30"/>
        <v>-2395.5</v>
      </c>
      <c r="Y48" s="2"/>
      <c r="Z48" s="6">
        <f t="shared" si="31"/>
        <v>-0.99812500000000004</v>
      </c>
    </row>
    <row r="49" spans="1:26" s="28" customFormat="1" outlineLevel="1" collapsed="1" x14ac:dyDescent="0.25">
      <c r="A49" s="29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SUM(OSRRefD22_6x_0)</f>
        <v>36</v>
      </c>
      <c r="E49" s="1"/>
      <c r="F49" s="5">
        <f t="shared" si="24"/>
        <v>0</v>
      </c>
      <c r="G49" s="1"/>
      <c r="H49" s="1">
        <f>SUM(OSRRefH22_6x_0)</f>
        <v>72</v>
      </c>
      <c r="I49" s="1"/>
      <c r="J49" s="5">
        <f t="shared" si="25"/>
        <v>0</v>
      </c>
      <c r="K49" s="1"/>
      <c r="L49" s="1">
        <f t="shared" si="26"/>
        <v>-36</v>
      </c>
      <c r="M49" s="1"/>
      <c r="N49" s="5">
        <f t="shared" si="27"/>
        <v>-0.5</v>
      </c>
      <c r="O49" s="14"/>
      <c r="P49" s="1">
        <f>SUM(OSRRefP22_6x_0)</f>
        <v>216</v>
      </c>
      <c r="Q49" s="1"/>
      <c r="R49" s="5">
        <f t="shared" si="28"/>
        <v>0</v>
      </c>
      <c r="S49" s="1"/>
      <c r="T49" s="1">
        <f>SUM(OSRRefT22_6x_0)</f>
        <v>288</v>
      </c>
      <c r="U49" s="1"/>
      <c r="V49" s="5">
        <f t="shared" si="29"/>
        <v>0</v>
      </c>
      <c r="W49" s="1"/>
      <c r="X49" s="1">
        <f t="shared" si="30"/>
        <v>-72</v>
      </c>
      <c r="Y49" s="1"/>
      <c r="Z49" s="5">
        <f t="shared" si="31"/>
        <v>-0.25</v>
      </c>
    </row>
    <row r="50" spans="1:26" s="24" customFormat="1" hidden="1" outlineLevel="2" x14ac:dyDescent="0.25">
      <c r="A50" s="27"/>
      <c r="B50" s="11" t="str">
        <f>CONCATENATE("          ", "6303", " - ", "DATA PHONE LINES")</f>
        <v xml:space="preserve">          6303 - DATA PHONE LINES</v>
      </c>
      <c r="C50" s="11"/>
      <c r="D50" s="7"/>
      <c r="E50" s="2"/>
      <c r="F50" s="6">
        <f t="shared" si="24"/>
        <v>0</v>
      </c>
      <c r="G50" s="2"/>
      <c r="H50" s="7">
        <v>36</v>
      </c>
      <c r="I50" s="2"/>
      <c r="J50" s="6">
        <f t="shared" si="25"/>
        <v>0</v>
      </c>
      <c r="K50" s="2"/>
      <c r="L50" s="7">
        <f t="shared" si="26"/>
        <v>-36</v>
      </c>
      <c r="M50" s="2"/>
      <c r="N50" s="6">
        <f t="shared" si="27"/>
        <v>-1</v>
      </c>
      <c r="O50" s="11"/>
      <c r="P50" s="7"/>
      <c r="Q50" s="2"/>
      <c r="R50" s="6">
        <f t="shared" si="28"/>
        <v>0</v>
      </c>
      <c r="S50" s="2"/>
      <c r="T50" s="7">
        <v>144</v>
      </c>
      <c r="U50" s="2"/>
      <c r="V50" s="6">
        <f t="shared" si="29"/>
        <v>0</v>
      </c>
      <c r="W50" s="2"/>
      <c r="X50" s="7">
        <f t="shared" si="30"/>
        <v>-144</v>
      </c>
      <c r="Y50" s="2"/>
      <c r="Z50" s="6">
        <f t="shared" si="31"/>
        <v>-1</v>
      </c>
    </row>
    <row r="51" spans="1:26" s="24" customFormat="1" hidden="1" outlineLevel="2" x14ac:dyDescent="0.25">
      <c r="A51" s="27"/>
      <c r="B51" s="11" t="str">
        <f>CONCATENATE("          ", "6309", " - ", "TELEPHONE")</f>
        <v xml:space="preserve">          6309 - TELEPHONE</v>
      </c>
      <c r="C51" s="11"/>
      <c r="D51" s="7">
        <v>36</v>
      </c>
      <c r="E51" s="2"/>
      <c r="F51" s="6">
        <f t="shared" si="24"/>
        <v>0</v>
      </c>
      <c r="G51" s="2"/>
      <c r="H51" s="7">
        <v>36</v>
      </c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>
        <v>216</v>
      </c>
      <c r="Q51" s="2"/>
      <c r="R51" s="6">
        <f t="shared" si="28"/>
        <v>0</v>
      </c>
      <c r="S51" s="2"/>
      <c r="T51" s="7">
        <v>144</v>
      </c>
      <c r="U51" s="2"/>
      <c r="V51" s="6">
        <f t="shared" si="29"/>
        <v>0</v>
      </c>
      <c r="W51" s="2"/>
      <c r="X51" s="7">
        <f t="shared" si="30"/>
        <v>72</v>
      </c>
      <c r="Y51" s="2"/>
      <c r="Z51" s="6">
        <f t="shared" si="31"/>
        <v>0.5</v>
      </c>
    </row>
    <row r="52" spans="1:26" s="28" customFormat="1" outlineLevel="1" collapsed="1" x14ac:dyDescent="0.25">
      <c r="A52" s="29"/>
      <c r="B52" s="14" t="str">
        <f>CONCATENATE("     ","Training                                          ")</f>
        <v xml:space="preserve">     Training                                          </v>
      </c>
      <c r="C52" s="14"/>
      <c r="D52" s="1">
        <f>SUM(OSRRefD22_7x_0)</f>
        <v>0</v>
      </c>
      <c r="E52" s="1"/>
      <c r="F52" s="5">
        <f t="shared" ref="F52:F53" si="32">IF(D$12=0,0,D52/D$12)</f>
        <v>0</v>
      </c>
      <c r="G52" s="1"/>
      <c r="H52" s="1">
        <f>SUM(OSRRefH22_7x_0)</f>
        <v>0</v>
      </c>
      <c r="I52" s="1"/>
      <c r="J52" s="5">
        <f t="shared" ref="J52:J53" si="33">IF(H$12=0,0,H52/H$12)</f>
        <v>0</v>
      </c>
      <c r="K52" s="1"/>
      <c r="L52" s="1">
        <f t="shared" ref="L52:L53" si="34">+D52-H52</f>
        <v>0</v>
      </c>
      <c r="M52" s="1"/>
      <c r="N52" s="5">
        <f t="shared" ref="N52:N53" si="35">IF(H52=0,0,L52/H52)</f>
        <v>0</v>
      </c>
      <c r="O52" s="14"/>
      <c r="P52" s="1">
        <f>SUM(OSRRefP22_7x_0)</f>
        <v>0</v>
      </c>
      <c r="Q52" s="1"/>
      <c r="R52" s="5">
        <f t="shared" ref="R52:R53" si="36">IF(P$12=0,0,P52/P$12)</f>
        <v>0</v>
      </c>
      <c r="S52" s="1"/>
      <c r="T52" s="1">
        <f>SUM(OSRRefT22_7x_0)</f>
        <v>1000</v>
      </c>
      <c r="U52" s="1"/>
      <c r="V52" s="5">
        <f t="shared" ref="V52:V53" si="37">IF(T$12=0,0,T52/T$12)</f>
        <v>0</v>
      </c>
      <c r="W52" s="1"/>
      <c r="X52" s="1">
        <f t="shared" ref="X52:X53" si="38">+P52-T52</f>
        <v>-1000</v>
      </c>
      <c r="Y52" s="1"/>
      <c r="Z52" s="5">
        <f t="shared" ref="Z52:Z53" si="39">IF(T52=0,0,X52/T52)</f>
        <v>-1</v>
      </c>
    </row>
    <row r="53" spans="1:26" s="24" customFormat="1" hidden="1" outlineLevel="2" x14ac:dyDescent="0.25">
      <c r="A53" s="27"/>
      <c r="B53" s="11" t="str">
        <f>CONCATENATE("          ", "6376", " - ", "TRAINING")</f>
        <v xml:space="preserve">          6376 - TRAINING</v>
      </c>
      <c r="C53" s="11"/>
      <c r="D53" s="7"/>
      <c r="E53" s="2"/>
      <c r="F53" s="6">
        <f t="shared" si="32"/>
        <v>0</v>
      </c>
      <c r="G53" s="2"/>
      <c r="H53" s="7"/>
      <c r="I53" s="2"/>
      <c r="J53" s="6">
        <f t="shared" si="33"/>
        <v>0</v>
      </c>
      <c r="K53" s="2"/>
      <c r="L53" s="7">
        <f t="shared" si="34"/>
        <v>0</v>
      </c>
      <c r="M53" s="2"/>
      <c r="N53" s="6">
        <f t="shared" si="35"/>
        <v>0</v>
      </c>
      <c r="O53" s="11"/>
      <c r="P53" s="7"/>
      <c r="Q53" s="2"/>
      <c r="R53" s="6">
        <f t="shared" si="36"/>
        <v>0</v>
      </c>
      <c r="S53" s="2"/>
      <c r="T53" s="7">
        <v>1000</v>
      </c>
      <c r="U53" s="2"/>
      <c r="V53" s="6">
        <f t="shared" si="37"/>
        <v>0</v>
      </c>
      <c r="W53" s="2"/>
      <c r="X53" s="7">
        <f t="shared" si="38"/>
        <v>-1000</v>
      </c>
      <c r="Y53" s="2"/>
      <c r="Z53" s="6">
        <f t="shared" si="39"/>
        <v>-1</v>
      </c>
    </row>
    <row r="54" spans="1:26" s="60" customFormat="1" x14ac:dyDescent="0.25">
      <c r="A54" s="36"/>
      <c r="B54" s="36"/>
      <c r="C54" s="36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5" t="s">
        <v>293</v>
      </c>
      <c r="C55" s="10"/>
      <c r="D55" s="4">
        <f>SUM(0)</f>
        <v>0</v>
      </c>
      <c r="E55" s="4"/>
      <c r="F55" s="12">
        <f>IF(D$12=0,0,D55/D$12)</f>
        <v>0</v>
      </c>
      <c r="G55" s="4"/>
      <c r="H55" s="4">
        <f>SUM(0)</f>
        <v>0</v>
      </c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>
        <f>SUM(0)</f>
        <v>0</v>
      </c>
      <c r="Q55" s="4"/>
      <c r="R55" s="12">
        <f>IF(P$12=0,0,P55/P$12)</f>
        <v>0</v>
      </c>
      <c r="S55" s="4"/>
      <c r="T55" s="4">
        <f>SUM(0)</f>
        <v>0</v>
      </c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6" t="s">
        <v>277</v>
      </c>
      <c r="C57" s="26"/>
      <c r="D57" s="21">
        <f>+D16-D18+D55</f>
        <v>-10350.699999999999</v>
      </c>
      <c r="E57" s="13"/>
      <c r="F57" s="20">
        <f>IF(D$12=0,0,D57/D$12)</f>
        <v>0</v>
      </c>
      <c r="G57" s="13"/>
      <c r="H57" s="21">
        <f>+H16-H18+H55</f>
        <v>-14579.94678461538</v>
      </c>
      <c r="I57" s="13"/>
      <c r="J57" s="20">
        <f>IF(H$12=0,0,H57/H$12)</f>
        <v>0</v>
      </c>
      <c r="K57" s="15"/>
      <c r="L57" s="21">
        <f>+D57-H57</f>
        <v>4229.2467846153813</v>
      </c>
      <c r="M57" s="15"/>
      <c r="N57" s="20">
        <f>IF(H57=0,0,L57/H57)</f>
        <v>-0.29007285466076199</v>
      </c>
      <c r="O57" s="25"/>
      <c r="P57" s="21">
        <f>+P16-P18+P55</f>
        <v>-35891.11</v>
      </c>
      <c r="Q57" s="13"/>
      <c r="R57" s="20">
        <f>IF(P$12=0,0,P57/P$12)</f>
        <v>0</v>
      </c>
      <c r="S57" s="13"/>
      <c r="T57" s="21">
        <f>+T16-T18+T55</f>
        <v>-55770.138024615386</v>
      </c>
      <c r="U57" s="13"/>
      <c r="V57" s="20">
        <f>IF(T$12=0,0,T57/T$12)</f>
        <v>0</v>
      </c>
      <c r="W57" s="15"/>
      <c r="X57" s="21">
        <f>+P57-T57</f>
        <v>19879.028024615385</v>
      </c>
      <c r="Y57" s="15"/>
      <c r="Z57" s="20">
        <f>IF(T57=0,0,X57/T57)</f>
        <v>-0.35644573832399939</v>
      </c>
    </row>
    <row r="58" spans="1:26" x14ac:dyDescent="0.25">
      <c r="A58" s="9"/>
      <c r="B58" s="10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52"/>
      <c r="B59" s="10" t="s">
        <v>128</v>
      </c>
      <c r="C59" s="10"/>
      <c r="D59" s="4"/>
      <c r="E59" s="4"/>
      <c r="F59" s="12">
        <f>IF(D$12=0,0,D59/D$12)</f>
        <v>0</v>
      </c>
      <c r="G59" s="4"/>
      <c r="H59" s="4"/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/>
      <c r="Q59" s="4"/>
      <c r="R59" s="12">
        <f>IF(P$12=0,0,P59/P$12)</f>
        <v>0</v>
      </c>
      <c r="S59" s="4"/>
      <c r="T59" s="4"/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.75" thickBot="1" x14ac:dyDescent="0.3">
      <c r="A61" s="10"/>
      <c r="B61" s="26" t="s">
        <v>126</v>
      </c>
      <c r="C61" s="26"/>
      <c r="D61" s="31">
        <f>+D57-D59</f>
        <v>-10350.699999999999</v>
      </c>
      <c r="E61" s="13"/>
      <c r="F61" s="33">
        <f>IF(D$12=0,0,D61/D$12)</f>
        <v>0</v>
      </c>
      <c r="G61" s="13"/>
      <c r="H61" s="31">
        <f>+H57-H59</f>
        <v>-14579.94678461538</v>
      </c>
      <c r="I61" s="13"/>
      <c r="J61" s="33">
        <f>IF(H$12=0,0,H61/H$12)</f>
        <v>0</v>
      </c>
      <c r="K61" s="15"/>
      <c r="L61" s="31">
        <f>D61-H61</f>
        <v>4229.2467846153813</v>
      </c>
      <c r="M61" s="15"/>
      <c r="N61" s="33">
        <f>IF(H61=0,0,L61/H61)</f>
        <v>-0.29007285466076199</v>
      </c>
      <c r="O61" s="25"/>
      <c r="P61" s="31">
        <f>+P57-P59</f>
        <v>-35891.11</v>
      </c>
      <c r="Q61" s="13"/>
      <c r="R61" s="33">
        <f>IF(P$12=0,0,P61/P$12)</f>
        <v>0</v>
      </c>
      <c r="S61" s="13"/>
      <c r="T61" s="31">
        <f>+T57-T59</f>
        <v>-55770.138024615386</v>
      </c>
      <c r="U61" s="13"/>
      <c r="V61" s="33">
        <f>IF(T$12=0,0,T61/T$12)</f>
        <v>0</v>
      </c>
      <c r="W61" s="15"/>
      <c r="X61" s="31">
        <f>P61-T61</f>
        <v>19879.028024615385</v>
      </c>
      <c r="Y61" s="15"/>
      <c r="Z61" s="33">
        <f>IF(T61=0,0,X61/T61)</f>
        <v>-0.35644573832399939</v>
      </c>
    </row>
    <row r="62" spans="1:26" ht="15.75" thickTop="1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6" t="s">
        <v>294</v>
      </c>
      <c r="C64" s="26"/>
      <c r="D64" s="35">
        <f>SUM(D61:D63)</f>
        <v>-10350.699999999999</v>
      </c>
      <c r="E64" s="13"/>
      <c r="F64" s="32">
        <f>IF(D$12=0,0,D64/D$12)</f>
        <v>0</v>
      </c>
      <c r="G64" s="13"/>
      <c r="H64" s="35">
        <f>SUM(H61:H63)</f>
        <v>-14579.94678461538</v>
      </c>
      <c r="I64" s="13"/>
      <c r="J64" s="32">
        <f>IF(H$12=0,0,H64/H$12)</f>
        <v>0</v>
      </c>
      <c r="K64" s="15"/>
      <c r="L64" s="35">
        <f>+D64-H64</f>
        <v>4229.2467846153813</v>
      </c>
      <c r="M64" s="15"/>
      <c r="N64" s="32">
        <f>IF(H64=0,0,L64/H64)</f>
        <v>-0.29007285466076199</v>
      </c>
      <c r="O64" s="25"/>
      <c r="P64" s="35">
        <f>SUM(P61:P63)</f>
        <v>-35891.11</v>
      </c>
      <c r="Q64" s="13"/>
      <c r="R64" s="32">
        <f>IF(P$12=0,0,P64/P$12)</f>
        <v>0</v>
      </c>
      <c r="S64" s="13"/>
      <c r="T64" s="35">
        <f>SUM(T61:T63)</f>
        <v>-55770.138024615386</v>
      </c>
      <c r="U64" s="13"/>
      <c r="V64" s="32">
        <f>IF(T$12=0,0,T64/T$12)</f>
        <v>0</v>
      </c>
      <c r="W64" s="15"/>
      <c r="X64" s="35">
        <f>+P64-T64</f>
        <v>19879.028024615385</v>
      </c>
      <c r="Y64" s="15"/>
      <c r="Z64" s="32">
        <f>IF(T64=0,0,X64/T64)</f>
        <v>-0.35644573832399939</v>
      </c>
    </row>
    <row r="65" spans="1:24" ht="15.75" thickTop="1" x14ac:dyDescent="0.25">
      <c r="A65" s="9"/>
      <c r="C65" s="9"/>
      <c r="D65" s="18"/>
      <c r="E65" s="18"/>
      <c r="G65" s="18"/>
      <c r="H65" s="18"/>
      <c r="I65" s="18"/>
      <c r="J65" s="42"/>
      <c r="K65" s="18"/>
      <c r="L65" s="18"/>
      <c r="M65" s="18"/>
      <c r="P65" s="18"/>
      <c r="Q65" s="18"/>
      <c r="R65" s="42"/>
      <c r="S65" s="18"/>
      <c r="T65" s="18"/>
      <c r="U65" s="18"/>
      <c r="V65" s="42"/>
      <c r="W65" s="18"/>
      <c r="X65" s="18"/>
    </row>
    <row r="66" spans="1:24" x14ac:dyDescent="0.25">
      <c r="A66" s="9"/>
      <c r="B66" s="59">
        <v>44517.962875613426</v>
      </c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4" x14ac:dyDescent="0.25">
      <c r="A67" s="9"/>
      <c r="B67" s="62" t="s">
        <v>56</v>
      </c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4" x14ac:dyDescent="0.25">
      <c r="A68" s="9"/>
      <c r="B68" s="57"/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4" x14ac:dyDescent="0.25"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</sheetPr>
  <dimension ref="A2:Z17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107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576253.80999999994</v>
      </c>
      <c r="E12" s="4"/>
      <c r="F12" s="12"/>
      <c r="G12" s="4"/>
      <c r="H12" s="4">
        <f>SUM(OSRRefH13x_0)</f>
        <v>434337</v>
      </c>
      <c r="I12" s="4"/>
      <c r="J12" s="12"/>
      <c r="K12" s="4"/>
      <c r="L12" s="4">
        <f t="shared" ref="L12:L21" si="0">+D12-H12</f>
        <v>141916.80999999994</v>
      </c>
      <c r="M12" s="4"/>
      <c r="N12" s="12">
        <f t="shared" ref="N12:N21" si="1">IF(H12=0,0,L12/H12)</f>
        <v>0.3267435424566637</v>
      </c>
      <c r="O12" s="10"/>
      <c r="P12" s="4">
        <f>SUM(OSRRefP13x_0)</f>
        <v>2916777.16</v>
      </c>
      <c r="Q12" s="4"/>
      <c r="R12" s="12"/>
      <c r="S12" s="4"/>
      <c r="T12" s="4">
        <f>SUM(OSRRefT13x_0)</f>
        <v>4378446</v>
      </c>
      <c r="U12" s="4"/>
      <c r="V12" s="12"/>
      <c r="W12" s="4"/>
      <c r="X12" s="4">
        <f t="shared" ref="X12:X21" si="2">+P12-T12</f>
        <v>-1461668.8399999999</v>
      </c>
      <c r="Y12" s="4"/>
      <c r="Z12" s="12">
        <f t="shared" ref="Z12:Z21" si="3">IF(T12=0,0,X12/T12)</f>
        <v>-0.33383278907630692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--482384.27</f>
        <v>482384.27</v>
      </c>
      <c r="E13" s="2"/>
      <c r="F13" s="19"/>
      <c r="G13" s="2"/>
      <c r="H13" s="2">
        <v>345683</v>
      </c>
      <c r="I13" s="2"/>
      <c r="J13" s="19"/>
      <c r="K13" s="2"/>
      <c r="L13" s="2">
        <f t="shared" si="0"/>
        <v>136701.27000000002</v>
      </c>
      <c r="M13" s="2"/>
      <c r="N13" s="19">
        <f t="shared" si="1"/>
        <v>0.39545268352797219</v>
      </c>
      <c r="O13" s="11"/>
      <c r="P13" s="2">
        <f>--2377830.7</f>
        <v>2377830.7000000002</v>
      </c>
      <c r="Q13" s="2"/>
      <c r="R13" s="19"/>
      <c r="S13" s="2"/>
      <c r="T13" s="2">
        <v>4190794</v>
      </c>
      <c r="U13" s="2"/>
      <c r="V13" s="19"/>
      <c r="W13" s="2"/>
      <c r="X13" s="2">
        <f t="shared" si="2"/>
        <v>-1812963.2999999998</v>
      </c>
      <c r="Y13" s="2"/>
      <c r="Z13" s="19">
        <f t="shared" si="3"/>
        <v>-0.43260616007372343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--404.53</f>
        <v>404.53</v>
      </c>
      <c r="E14" s="2"/>
      <c r="F14" s="19"/>
      <c r="G14" s="2"/>
      <c r="H14" s="2"/>
      <c r="I14" s="2"/>
      <c r="J14" s="19"/>
      <c r="K14" s="2"/>
      <c r="L14" s="2">
        <f t="shared" si="0"/>
        <v>404.53</v>
      </c>
      <c r="M14" s="2"/>
      <c r="N14" s="19">
        <f t="shared" si="1"/>
        <v>0</v>
      </c>
      <c r="O14" s="11"/>
      <c r="P14" s="2">
        <f>--543.62</f>
        <v>543.62</v>
      </c>
      <c r="Q14" s="2"/>
      <c r="R14" s="19"/>
      <c r="S14" s="2"/>
      <c r="T14" s="2"/>
      <c r="U14" s="2"/>
      <c r="V14" s="19"/>
      <c r="W14" s="2"/>
      <c r="X14" s="2">
        <f t="shared" si="2"/>
        <v>543.62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--128659.35</f>
        <v>128659.35</v>
      </c>
      <c r="E15" s="2"/>
      <c r="F15" s="19"/>
      <c r="G15" s="2"/>
      <c r="H15" s="2">
        <v>88654</v>
      </c>
      <c r="I15" s="2"/>
      <c r="J15" s="19"/>
      <c r="K15" s="2"/>
      <c r="L15" s="2">
        <f t="shared" si="0"/>
        <v>40005.350000000006</v>
      </c>
      <c r="M15" s="2"/>
      <c r="N15" s="19">
        <f t="shared" si="1"/>
        <v>0.4512526225551019</v>
      </c>
      <c r="O15" s="11"/>
      <c r="P15" s="2">
        <f>--634202.83</f>
        <v>634202.82999999996</v>
      </c>
      <c r="Q15" s="2"/>
      <c r="R15" s="19"/>
      <c r="S15" s="2"/>
      <c r="T15" s="2">
        <v>187652</v>
      </c>
      <c r="U15" s="2"/>
      <c r="V15" s="19"/>
      <c r="W15" s="2"/>
      <c r="X15" s="2">
        <f t="shared" si="2"/>
        <v>446550.82999999996</v>
      </c>
      <c r="Y15" s="2"/>
      <c r="Z15" s="19">
        <f t="shared" si="3"/>
        <v>2.3796753032208553</v>
      </c>
    </row>
    <row r="16" spans="1:26" s="24" customFormat="1" hidden="1" outlineLevel="1" x14ac:dyDescent="0.25">
      <c r="A16" s="44"/>
      <c r="B16" s="11" t="str">
        <f>CONCATENATE("          ", "4141", " - ", "NON-TAXABLE SALES-LOGO GIFTS")</f>
        <v xml:space="preserve">          4141 - NON-TAXABLE SALES-LOGO GIFTS</v>
      </c>
      <c r="C16" s="11"/>
      <c r="D16" s="2">
        <f>-460.55</f>
        <v>-460.55</v>
      </c>
      <c r="E16" s="2"/>
      <c r="F16" s="19"/>
      <c r="G16" s="2"/>
      <c r="H16" s="2"/>
      <c r="I16" s="2"/>
      <c r="J16" s="19"/>
      <c r="K16" s="2"/>
      <c r="L16" s="2">
        <f t="shared" si="0"/>
        <v>-460.55</v>
      </c>
      <c r="M16" s="2"/>
      <c r="N16" s="19">
        <f t="shared" si="1"/>
        <v>0</v>
      </c>
      <c r="O16" s="11"/>
      <c r="P16" s="2">
        <f t="shared" ref="P16:P18" si="4">0</f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"4146", " - ", "NON-TAXABLE SALES-COIN OP MACH")</f>
        <v xml:space="preserve">          4146 - NON-TAXABLE SALES-COIN OP MACH</v>
      </c>
      <c r="C17" s="11"/>
      <c r="D17" s="2">
        <f>-7492.95</f>
        <v>-7492.95</v>
      </c>
      <c r="E17" s="2"/>
      <c r="F17" s="19"/>
      <c r="G17" s="2"/>
      <c r="H17" s="2"/>
      <c r="I17" s="2"/>
      <c r="J17" s="19"/>
      <c r="K17" s="2"/>
      <c r="L17" s="2">
        <f t="shared" si="0"/>
        <v>-7492.95</v>
      </c>
      <c r="M17" s="2"/>
      <c r="N17" s="19">
        <f t="shared" si="1"/>
        <v>0</v>
      </c>
      <c r="O17" s="11"/>
      <c r="P17" s="2">
        <f t="shared" si="4"/>
        <v>0</v>
      </c>
      <c r="Q17" s="2"/>
      <c r="R17" s="19"/>
      <c r="S17" s="2"/>
      <c r="T17" s="2"/>
      <c r="U17" s="2"/>
      <c r="V17" s="19"/>
      <c r="W17" s="2"/>
      <c r="X17" s="2">
        <f t="shared" si="2"/>
        <v>0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4"/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"4200", " - ", "TAXABLE RETURNS")</f>
        <v xml:space="preserve">          4200 - TAXABLE RETURNS</v>
      </c>
      <c r="C19" s="11"/>
      <c r="D19" s="2">
        <f>-13940.06</f>
        <v>-13940.06</v>
      </c>
      <c r="E19" s="2"/>
      <c r="F19" s="19"/>
      <c r="G19" s="2"/>
      <c r="H19" s="2"/>
      <c r="I19" s="2"/>
      <c r="J19" s="19"/>
      <c r="K19" s="2"/>
      <c r="L19" s="2">
        <f t="shared" si="0"/>
        <v>-13940.06</v>
      </c>
      <c r="M19" s="2"/>
      <c r="N19" s="19">
        <f t="shared" si="1"/>
        <v>0</v>
      </c>
      <c r="O19" s="11"/>
      <c r="P19" s="2">
        <f>-62392.97</f>
        <v>-62392.97</v>
      </c>
      <c r="Q19" s="2"/>
      <c r="R19" s="19"/>
      <c r="S19" s="2"/>
      <c r="T19" s="2"/>
      <c r="U19" s="2"/>
      <c r="V19" s="19"/>
      <c r="W19" s="2"/>
      <c r="X19" s="2">
        <f t="shared" si="2"/>
        <v>-62392.97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"4300", " - ", "NON-TAX RETURNS")</f>
        <v xml:space="preserve">          4300 - NON-TAX RETURNS</v>
      </c>
      <c r="C20" s="11"/>
      <c r="D20" s="2">
        <f>-5693.23</f>
        <v>-5693.23</v>
      </c>
      <c r="E20" s="2"/>
      <c r="F20" s="19"/>
      <c r="G20" s="2"/>
      <c r="H20" s="2"/>
      <c r="I20" s="2"/>
      <c r="J20" s="19"/>
      <c r="K20" s="2"/>
      <c r="L20" s="2">
        <f t="shared" si="0"/>
        <v>-5693.23</v>
      </c>
      <c r="M20" s="2"/>
      <c r="N20" s="19">
        <f t="shared" si="1"/>
        <v>0</v>
      </c>
      <c r="O20" s="11"/>
      <c r="P20" s="2">
        <f>-25799.47</f>
        <v>-25799.47</v>
      </c>
      <c r="Q20" s="2"/>
      <c r="R20" s="19"/>
      <c r="S20" s="2"/>
      <c r="T20" s="2"/>
      <c r="U20" s="2"/>
      <c r="V20" s="19"/>
      <c r="W20" s="2"/>
      <c r="X20" s="2">
        <f t="shared" si="2"/>
        <v>-25799.47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"4500", " - ", "SALES DISCOUNT")</f>
        <v xml:space="preserve">          4500 - SALES DISCOUNT</v>
      </c>
      <c r="C21" s="11"/>
      <c r="D21" s="2">
        <f>-7607.55</f>
        <v>-7607.55</v>
      </c>
      <c r="E21" s="2"/>
      <c r="F21" s="19"/>
      <c r="G21" s="2"/>
      <c r="H21" s="2"/>
      <c r="I21" s="2"/>
      <c r="J21" s="19"/>
      <c r="K21" s="2"/>
      <c r="L21" s="2">
        <f t="shared" si="0"/>
        <v>-7607.55</v>
      </c>
      <c r="M21" s="2"/>
      <c r="N21" s="19">
        <f t="shared" si="1"/>
        <v>0</v>
      </c>
      <c r="O21" s="11"/>
      <c r="P21" s="2">
        <f>-7607.55</f>
        <v>-7607.55</v>
      </c>
      <c r="Q21" s="2"/>
      <c r="R21" s="19"/>
      <c r="S21" s="2"/>
      <c r="T21" s="2"/>
      <c r="U21" s="2"/>
      <c r="V21" s="19"/>
      <c r="W21" s="2"/>
      <c r="X21" s="2">
        <f t="shared" si="2"/>
        <v>-7607.55</v>
      </c>
      <c r="Y21" s="2"/>
      <c r="Z21" s="19">
        <f t="shared" si="3"/>
        <v>0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5" t="s">
        <v>257</v>
      </c>
      <c r="C23" s="10"/>
      <c r="D23" s="4">
        <f>SUM(OSRRefD16x_0)</f>
        <v>322826.75999999995</v>
      </c>
      <c r="E23" s="4"/>
      <c r="F23" s="12">
        <f t="shared" ref="F23:F52" si="5">IF(D$12=0,0,D23/D$12)</f>
        <v>0.56021626998006313</v>
      </c>
      <c r="G23" s="4"/>
      <c r="H23" s="4">
        <f>SUM(OSRRefH16x_0)</f>
        <v>214085</v>
      </c>
      <c r="I23" s="4"/>
      <c r="J23" s="12">
        <f t="shared" ref="J23:J52" si="6">IF(H$12=0,0,H23/H$12)</f>
        <v>0.49290067390068082</v>
      </c>
      <c r="K23" s="4"/>
      <c r="L23" s="4">
        <f t="shared" ref="L23:L52" si="7">+D23-H23</f>
        <v>108741.75999999995</v>
      </c>
      <c r="M23" s="4"/>
      <c r="N23" s="12">
        <f t="shared" ref="N23:N52" si="8">IF(H23=0,0,L23/H23)</f>
        <v>0.50793731461802527</v>
      </c>
      <c r="O23" s="10"/>
      <c r="P23" s="4">
        <f>SUM(OSRRefP16x_0)</f>
        <v>1839116.7399999998</v>
      </c>
      <c r="Q23" s="4"/>
      <c r="R23" s="12">
        <f t="shared" ref="R23:R52" si="9">IF(P$12=0,0,P23/P$12)</f>
        <v>0.63053042420285532</v>
      </c>
      <c r="S23" s="4"/>
      <c r="T23" s="4">
        <f>SUM(OSRRefT16x_0)</f>
        <v>2801950</v>
      </c>
      <c r="U23" s="4"/>
      <c r="V23" s="12">
        <f t="shared" ref="V23:V52" si="10">IF(T$12=0,0,T23/T$12)</f>
        <v>0.6399416596664661</v>
      </c>
      <c r="W23" s="4"/>
      <c r="X23" s="4">
        <f t="shared" ref="X23:X52" si="11">+P23-T23</f>
        <v>-962833.26000000024</v>
      </c>
      <c r="Y23" s="4"/>
      <c r="Z23" s="12">
        <f t="shared" ref="Z23:Z52" si="12">IF(T23=0,0,X23/T23)</f>
        <v>-0.3436297078820108</v>
      </c>
    </row>
    <row r="24" spans="1:26" s="24" customFormat="1" hidden="1" outlineLevel="1" x14ac:dyDescent="0.25">
      <c r="A24" s="44"/>
      <c r="B24" s="11" t="str">
        <f>CONCATENATE("          ", "5000", " - ", "PURCHASES @ COST")</f>
        <v xml:space="preserve">          5000 - PURCHASES @ COST</v>
      </c>
      <c r="C24" s="11"/>
      <c r="D24" s="2">
        <v>744878.53</v>
      </c>
      <c r="E24" s="2"/>
      <c r="F24" s="19">
        <f t="shared" si="5"/>
        <v>1.2926223082151944</v>
      </c>
      <c r="G24" s="2"/>
      <c r="H24" s="2">
        <v>214085</v>
      </c>
      <c r="I24" s="2"/>
      <c r="J24" s="19">
        <f t="shared" si="6"/>
        <v>0.49290067390068082</v>
      </c>
      <c r="K24" s="2"/>
      <c r="L24" s="2">
        <f t="shared" si="7"/>
        <v>530793.53</v>
      </c>
      <c r="M24" s="2"/>
      <c r="N24" s="19">
        <f t="shared" si="8"/>
        <v>2.4793588060816965</v>
      </c>
      <c r="O24" s="11"/>
      <c r="P24" s="2">
        <v>2316137.12</v>
      </c>
      <c r="Q24" s="2"/>
      <c r="R24" s="19">
        <f t="shared" si="9"/>
        <v>0.79407407318013967</v>
      </c>
      <c r="S24" s="2"/>
      <c r="T24" s="2">
        <v>2801950</v>
      </c>
      <c r="U24" s="2"/>
      <c r="V24" s="19">
        <f t="shared" si="10"/>
        <v>0.6399416596664661</v>
      </c>
      <c r="W24" s="2"/>
      <c r="X24" s="2">
        <f t="shared" si="11"/>
        <v>-485812.87999999989</v>
      </c>
      <c r="Y24" s="2"/>
      <c r="Z24" s="19">
        <f t="shared" si="12"/>
        <v>-0.17338385053266472</v>
      </c>
    </row>
    <row r="25" spans="1:26" s="24" customFormat="1" hidden="1" outlineLevel="1" x14ac:dyDescent="0.25">
      <c r="A25" s="44"/>
      <c r="B25" s="11" t="str">
        <f>CONCATENATE("          ", "5001", " - ", "PURCHASES @ COST-NEW TEXT")</f>
        <v xml:space="preserve">          5001 - PURCHASES @ COST-NEW TEXT</v>
      </c>
      <c r="C25" s="11"/>
      <c r="D25" s="2">
        <v>0</v>
      </c>
      <c r="E25" s="2"/>
      <c r="F25" s="19">
        <f t="shared" si="5"/>
        <v>0</v>
      </c>
      <c r="G25" s="2"/>
      <c r="H25" s="2"/>
      <c r="I25" s="2"/>
      <c r="J25" s="19">
        <f t="shared" si="6"/>
        <v>0</v>
      </c>
      <c r="K25" s="2"/>
      <c r="L25" s="2">
        <f t="shared" si="7"/>
        <v>0</v>
      </c>
      <c r="M25" s="2"/>
      <c r="N25" s="19">
        <f t="shared" si="8"/>
        <v>0</v>
      </c>
      <c r="O25" s="11"/>
      <c r="P25" s="2">
        <v>0</v>
      </c>
      <c r="Q25" s="2"/>
      <c r="R25" s="19">
        <f t="shared" si="9"/>
        <v>0</v>
      </c>
      <c r="S25" s="2"/>
      <c r="T25" s="2"/>
      <c r="U25" s="2"/>
      <c r="V25" s="19">
        <f t="shared" si="10"/>
        <v>0</v>
      </c>
      <c r="W25" s="2"/>
      <c r="X25" s="2">
        <f t="shared" si="11"/>
        <v>0</v>
      </c>
      <c r="Y25" s="2"/>
      <c r="Z25" s="19">
        <f t="shared" si="12"/>
        <v>0</v>
      </c>
    </row>
    <row r="26" spans="1:26" s="24" customFormat="1" hidden="1" outlineLevel="1" x14ac:dyDescent="0.25">
      <c r="A26" s="44"/>
      <c r="B26" s="11" t="str">
        <f>CONCATENATE("          ", "5002", " - ", "PURCHASES @ COST-USED TEXT")</f>
        <v xml:space="preserve">          5002 - PURCHASES @ COST-USED TEXT</v>
      </c>
      <c r="C26" s="11"/>
      <c r="D26" s="2"/>
      <c r="E26" s="2"/>
      <c r="F26" s="19">
        <f t="shared" si="5"/>
        <v>0</v>
      </c>
      <c r="G26" s="2"/>
      <c r="H26" s="2"/>
      <c r="I26" s="2"/>
      <c r="J26" s="19">
        <f t="shared" si="6"/>
        <v>0</v>
      </c>
      <c r="K26" s="2"/>
      <c r="L26" s="2">
        <f t="shared" si="7"/>
        <v>0</v>
      </c>
      <c r="M26" s="2"/>
      <c r="N26" s="19">
        <f t="shared" si="8"/>
        <v>0</v>
      </c>
      <c r="O26" s="11"/>
      <c r="P26" s="2">
        <v>0</v>
      </c>
      <c r="Q26" s="2"/>
      <c r="R26" s="19">
        <f t="shared" si="9"/>
        <v>0</v>
      </c>
      <c r="S26" s="2"/>
      <c r="T26" s="2"/>
      <c r="U26" s="2"/>
      <c r="V26" s="19">
        <f t="shared" si="10"/>
        <v>0</v>
      </c>
      <c r="W26" s="2"/>
      <c r="X26" s="2">
        <f t="shared" si="11"/>
        <v>0</v>
      </c>
      <c r="Y26" s="2"/>
      <c r="Z26" s="19">
        <f t="shared" si="12"/>
        <v>0</v>
      </c>
    </row>
    <row r="27" spans="1:26" s="24" customFormat="1" hidden="1" outlineLevel="1" x14ac:dyDescent="0.25">
      <c r="A27" s="44"/>
      <c r="B27" s="11" t="str">
        <f>CONCATENATE("          ", "5004", " - ", "PURCHASES @ COST-DIGITAL TEXT")</f>
        <v xml:space="preserve">          5004 - PURCHASES @ COST-DIGITAL TEXT</v>
      </c>
      <c r="C27" s="11"/>
      <c r="D27" s="2"/>
      <c r="E27" s="2"/>
      <c r="F27" s="19">
        <f t="shared" si="5"/>
        <v>0</v>
      </c>
      <c r="G27" s="2"/>
      <c r="H27" s="2"/>
      <c r="I27" s="2"/>
      <c r="J27" s="19">
        <f t="shared" si="6"/>
        <v>0</v>
      </c>
      <c r="K27" s="2"/>
      <c r="L27" s="2">
        <f t="shared" si="7"/>
        <v>0</v>
      </c>
      <c r="M27" s="2"/>
      <c r="N27" s="19">
        <f t="shared" si="8"/>
        <v>0</v>
      </c>
      <c r="O27" s="11"/>
      <c r="P27" s="2">
        <v>0</v>
      </c>
      <c r="Q27" s="2"/>
      <c r="R27" s="19">
        <f t="shared" si="9"/>
        <v>0</v>
      </c>
      <c r="S27" s="2"/>
      <c r="T27" s="2"/>
      <c r="U27" s="2"/>
      <c r="V27" s="19">
        <f t="shared" si="10"/>
        <v>0</v>
      </c>
      <c r="W27" s="2"/>
      <c r="X27" s="2">
        <f t="shared" si="11"/>
        <v>0</v>
      </c>
      <c r="Y27" s="2"/>
      <c r="Z27" s="19">
        <f t="shared" si="12"/>
        <v>0</v>
      </c>
    </row>
    <row r="28" spans="1:26" s="24" customFormat="1" hidden="1" outlineLevel="1" x14ac:dyDescent="0.25">
      <c r="A28" s="44"/>
      <c r="B28" s="11" t="str">
        <f>CONCATENATE("          ", "5026", " - ", "PURCHASES @ COST-WRITING INSTR")</f>
        <v xml:space="preserve">          5026 - PURCHASES @ COST-WRITING INSTR</v>
      </c>
      <c r="C28" s="11"/>
      <c r="D28" s="2"/>
      <c r="E28" s="2"/>
      <c r="F28" s="19">
        <f t="shared" si="5"/>
        <v>0</v>
      </c>
      <c r="G28" s="2"/>
      <c r="H28" s="2"/>
      <c r="I28" s="2"/>
      <c r="J28" s="19">
        <f t="shared" si="6"/>
        <v>0</v>
      </c>
      <c r="K28" s="2"/>
      <c r="L28" s="2">
        <f t="shared" si="7"/>
        <v>0</v>
      </c>
      <c r="M28" s="2"/>
      <c r="N28" s="19">
        <f t="shared" si="8"/>
        <v>0</v>
      </c>
      <c r="O28" s="11"/>
      <c r="P28" s="2">
        <v>0</v>
      </c>
      <c r="Q28" s="2"/>
      <c r="R28" s="19">
        <f t="shared" si="9"/>
        <v>0</v>
      </c>
      <c r="S28" s="2"/>
      <c r="T28" s="2"/>
      <c r="U28" s="2"/>
      <c r="V28" s="19">
        <f t="shared" si="10"/>
        <v>0</v>
      </c>
      <c r="W28" s="2"/>
      <c r="X28" s="2">
        <f t="shared" si="11"/>
        <v>0</v>
      </c>
      <c r="Y28" s="2"/>
      <c r="Z28" s="19">
        <f t="shared" si="12"/>
        <v>0</v>
      </c>
    </row>
    <row r="29" spans="1:26" s="24" customFormat="1" hidden="1" outlineLevel="1" x14ac:dyDescent="0.25">
      <c r="A29" s="44"/>
      <c r="B29" s="11" t="str">
        <f>CONCATENATE("          ", "5027", " - ", "PURCHASES @ COST-SCHOOL SUPPLI")</f>
        <v xml:space="preserve">          5027 - PURCHASES @ COST-SCHOOL SUPPLI</v>
      </c>
      <c r="C29" s="11"/>
      <c r="D29" s="2"/>
      <c r="E29" s="2"/>
      <c r="F29" s="19">
        <f t="shared" si="5"/>
        <v>0</v>
      </c>
      <c r="G29" s="2"/>
      <c r="H29" s="2"/>
      <c r="I29" s="2"/>
      <c r="J29" s="19">
        <f t="shared" si="6"/>
        <v>0</v>
      </c>
      <c r="K29" s="2"/>
      <c r="L29" s="2">
        <f t="shared" si="7"/>
        <v>0</v>
      </c>
      <c r="M29" s="2"/>
      <c r="N29" s="19">
        <f t="shared" si="8"/>
        <v>0</v>
      </c>
      <c r="O29" s="11"/>
      <c r="P29" s="2">
        <v>0</v>
      </c>
      <c r="Q29" s="2"/>
      <c r="R29" s="19">
        <f t="shared" si="9"/>
        <v>0</v>
      </c>
      <c r="S29" s="2"/>
      <c r="T29" s="2"/>
      <c r="U29" s="2"/>
      <c r="V29" s="19">
        <f t="shared" si="10"/>
        <v>0</v>
      </c>
      <c r="W29" s="2"/>
      <c r="X29" s="2">
        <f t="shared" si="11"/>
        <v>0</v>
      </c>
      <c r="Y29" s="2"/>
      <c r="Z29" s="19">
        <f t="shared" si="12"/>
        <v>0</v>
      </c>
    </row>
    <row r="30" spans="1:26" s="24" customFormat="1" hidden="1" outlineLevel="1" x14ac:dyDescent="0.25">
      <c r="A30" s="44"/>
      <c r="B30" s="11" t="str">
        <f>CONCATENATE("          ", "5028", " - ", "PURCHASES @ COST-ART/TECH")</f>
        <v xml:space="preserve">          5028 - PURCHASES @ COST-ART/TECH</v>
      </c>
      <c r="C30" s="11"/>
      <c r="D30" s="2"/>
      <c r="E30" s="2"/>
      <c r="F30" s="19">
        <f t="shared" si="5"/>
        <v>0</v>
      </c>
      <c r="G30" s="2"/>
      <c r="H30" s="2"/>
      <c r="I30" s="2"/>
      <c r="J30" s="19">
        <f t="shared" si="6"/>
        <v>0</v>
      </c>
      <c r="K30" s="2"/>
      <c r="L30" s="2">
        <f t="shared" si="7"/>
        <v>0</v>
      </c>
      <c r="M30" s="2"/>
      <c r="N30" s="19">
        <f t="shared" si="8"/>
        <v>0</v>
      </c>
      <c r="O30" s="11"/>
      <c r="P30" s="2">
        <v>0</v>
      </c>
      <c r="Q30" s="2"/>
      <c r="R30" s="19">
        <f t="shared" si="9"/>
        <v>0</v>
      </c>
      <c r="S30" s="2"/>
      <c r="T30" s="2"/>
      <c r="U30" s="2"/>
      <c r="V30" s="19">
        <f t="shared" si="10"/>
        <v>0</v>
      </c>
      <c r="W30" s="2"/>
      <c r="X30" s="2">
        <f t="shared" si="11"/>
        <v>0</v>
      </c>
      <c r="Y30" s="2"/>
      <c r="Z30" s="19">
        <f t="shared" si="12"/>
        <v>0</v>
      </c>
    </row>
    <row r="31" spans="1:26" s="24" customFormat="1" hidden="1" outlineLevel="1" x14ac:dyDescent="0.25">
      <c r="A31" s="44"/>
      <c r="B31" s="11" t="str">
        <f>CONCATENATE("          ", "5031", " - ", "PURCHASES @ COST-FOOD")</f>
        <v xml:space="preserve">          5031 - PURCHASES @ COST-FOOD</v>
      </c>
      <c r="C31" s="11"/>
      <c r="D31" s="2"/>
      <c r="E31" s="2"/>
      <c r="F31" s="19">
        <f t="shared" si="5"/>
        <v>0</v>
      </c>
      <c r="G31" s="2"/>
      <c r="H31" s="2"/>
      <c r="I31" s="2"/>
      <c r="J31" s="19">
        <f t="shared" si="6"/>
        <v>0</v>
      </c>
      <c r="K31" s="2"/>
      <c r="L31" s="2">
        <f t="shared" si="7"/>
        <v>0</v>
      </c>
      <c r="M31" s="2"/>
      <c r="N31" s="19">
        <f t="shared" si="8"/>
        <v>0</v>
      </c>
      <c r="O31" s="11"/>
      <c r="P31" s="2">
        <v>0</v>
      </c>
      <c r="Q31" s="2"/>
      <c r="R31" s="19">
        <f t="shared" si="9"/>
        <v>0</v>
      </c>
      <c r="S31" s="2"/>
      <c r="T31" s="2"/>
      <c r="U31" s="2"/>
      <c r="V31" s="19">
        <f t="shared" si="10"/>
        <v>0</v>
      </c>
      <c r="W31" s="2"/>
      <c r="X31" s="2">
        <f t="shared" si="11"/>
        <v>0</v>
      </c>
      <c r="Y31" s="2"/>
      <c r="Z31" s="19">
        <f t="shared" si="12"/>
        <v>0</v>
      </c>
    </row>
    <row r="32" spans="1:26" s="24" customFormat="1" hidden="1" outlineLevel="1" x14ac:dyDescent="0.25">
      <c r="A32" s="44"/>
      <c r="B32" s="11" t="str">
        <f>CONCATENATE("          ", "5040", " - ", "PURCHASES @ COST-LOGO CLOTHING")</f>
        <v xml:space="preserve">          5040 - PURCHASES @ COST-LOGO CLOTHING</v>
      </c>
      <c r="C32" s="11"/>
      <c r="D32" s="2"/>
      <c r="E32" s="2"/>
      <c r="F32" s="19">
        <f t="shared" si="5"/>
        <v>0</v>
      </c>
      <c r="G32" s="2"/>
      <c r="H32" s="2"/>
      <c r="I32" s="2"/>
      <c r="J32" s="19">
        <f t="shared" si="6"/>
        <v>0</v>
      </c>
      <c r="K32" s="2"/>
      <c r="L32" s="2">
        <f t="shared" si="7"/>
        <v>0</v>
      </c>
      <c r="M32" s="2"/>
      <c r="N32" s="19">
        <f t="shared" si="8"/>
        <v>0</v>
      </c>
      <c r="O32" s="11"/>
      <c r="P32" s="2">
        <v>0</v>
      </c>
      <c r="Q32" s="2"/>
      <c r="R32" s="19">
        <f t="shared" si="9"/>
        <v>0</v>
      </c>
      <c r="S32" s="2"/>
      <c r="T32" s="2"/>
      <c r="U32" s="2"/>
      <c r="V32" s="19">
        <f t="shared" si="10"/>
        <v>0</v>
      </c>
      <c r="W32" s="2"/>
      <c r="X32" s="2">
        <f t="shared" si="11"/>
        <v>0</v>
      </c>
      <c r="Y32" s="2"/>
      <c r="Z32" s="19">
        <f t="shared" si="12"/>
        <v>0</v>
      </c>
    </row>
    <row r="33" spans="1:26" s="24" customFormat="1" hidden="1" outlineLevel="1" x14ac:dyDescent="0.25">
      <c r="A33" s="44"/>
      <c r="B33" s="11" t="str">
        <f>CONCATENATE("          ", "5041", " - ", "PURCHASES @ COST-LOGO GIFTS")</f>
        <v xml:space="preserve">          5041 - PURCHASES @ COST-LOGO GIFTS</v>
      </c>
      <c r="C33" s="11"/>
      <c r="D33" s="2"/>
      <c r="E33" s="2"/>
      <c r="F33" s="19">
        <f t="shared" si="5"/>
        <v>0</v>
      </c>
      <c r="G33" s="2"/>
      <c r="H33" s="2"/>
      <c r="I33" s="2"/>
      <c r="J33" s="19">
        <f t="shared" si="6"/>
        <v>0</v>
      </c>
      <c r="K33" s="2"/>
      <c r="L33" s="2">
        <f t="shared" si="7"/>
        <v>0</v>
      </c>
      <c r="M33" s="2"/>
      <c r="N33" s="19">
        <f t="shared" si="8"/>
        <v>0</v>
      </c>
      <c r="O33" s="11"/>
      <c r="P33" s="2">
        <v>0</v>
      </c>
      <c r="Q33" s="2"/>
      <c r="R33" s="19">
        <f t="shared" si="9"/>
        <v>0</v>
      </c>
      <c r="S33" s="2"/>
      <c r="T33" s="2"/>
      <c r="U33" s="2"/>
      <c r="V33" s="19">
        <f t="shared" si="10"/>
        <v>0</v>
      </c>
      <c r="W33" s="2"/>
      <c r="X33" s="2">
        <f t="shared" si="11"/>
        <v>0</v>
      </c>
      <c r="Y33" s="2"/>
      <c r="Z33" s="19">
        <f t="shared" si="12"/>
        <v>0</v>
      </c>
    </row>
    <row r="34" spans="1:26" s="24" customFormat="1" hidden="1" outlineLevel="1" x14ac:dyDescent="0.25">
      <c r="A34" s="44"/>
      <c r="B34" s="11" t="str">
        <f>CONCATENATE("          ", "5042", " - ", "PURCHASES @ COST-EVERYDAY GIFT")</f>
        <v xml:space="preserve">          5042 - PURCHASES @ COST-EVERYDAY GIFT</v>
      </c>
      <c r="C34" s="11"/>
      <c r="D34" s="2"/>
      <c r="E34" s="2"/>
      <c r="F34" s="19">
        <f t="shared" si="5"/>
        <v>0</v>
      </c>
      <c r="G34" s="2"/>
      <c r="H34" s="2"/>
      <c r="I34" s="2"/>
      <c r="J34" s="19">
        <f t="shared" si="6"/>
        <v>0</v>
      </c>
      <c r="K34" s="2"/>
      <c r="L34" s="2">
        <f t="shared" si="7"/>
        <v>0</v>
      </c>
      <c r="M34" s="2"/>
      <c r="N34" s="19">
        <f t="shared" si="8"/>
        <v>0</v>
      </c>
      <c r="O34" s="11"/>
      <c r="P34" s="2">
        <v>0</v>
      </c>
      <c r="Q34" s="2"/>
      <c r="R34" s="19">
        <f t="shared" si="9"/>
        <v>0</v>
      </c>
      <c r="S34" s="2"/>
      <c r="T34" s="2"/>
      <c r="U34" s="2"/>
      <c r="V34" s="19">
        <f t="shared" si="10"/>
        <v>0</v>
      </c>
      <c r="W34" s="2"/>
      <c r="X34" s="2">
        <f t="shared" si="11"/>
        <v>0</v>
      </c>
      <c r="Y34" s="2"/>
      <c r="Z34" s="19">
        <f t="shared" si="12"/>
        <v>0</v>
      </c>
    </row>
    <row r="35" spans="1:26" s="24" customFormat="1" hidden="1" outlineLevel="1" x14ac:dyDescent="0.25">
      <c r="A35" s="44"/>
      <c r="B35" s="11" t="str">
        <f>CONCATENATE("          ", "5043", " - ", "PURCHASES @ COST-CARDS")</f>
        <v xml:space="preserve">          5043 - PURCHASES @ COST-CARDS</v>
      </c>
      <c r="C35" s="11"/>
      <c r="D35" s="2"/>
      <c r="E35" s="2"/>
      <c r="F35" s="19">
        <f t="shared" si="5"/>
        <v>0</v>
      </c>
      <c r="G35" s="2"/>
      <c r="H35" s="2"/>
      <c r="I35" s="2"/>
      <c r="J35" s="19">
        <f t="shared" si="6"/>
        <v>0</v>
      </c>
      <c r="K35" s="2"/>
      <c r="L35" s="2">
        <f t="shared" si="7"/>
        <v>0</v>
      </c>
      <c r="M35" s="2"/>
      <c r="N35" s="19">
        <f t="shared" si="8"/>
        <v>0</v>
      </c>
      <c r="O35" s="11"/>
      <c r="P35" s="2">
        <v>0</v>
      </c>
      <c r="Q35" s="2"/>
      <c r="R35" s="19">
        <f t="shared" si="9"/>
        <v>0</v>
      </c>
      <c r="S35" s="2"/>
      <c r="T35" s="2"/>
      <c r="U35" s="2"/>
      <c r="V35" s="19">
        <f t="shared" si="10"/>
        <v>0</v>
      </c>
      <c r="W35" s="2"/>
      <c r="X35" s="2">
        <f t="shared" si="11"/>
        <v>0</v>
      </c>
      <c r="Y35" s="2"/>
      <c r="Z35" s="19">
        <f t="shared" si="12"/>
        <v>0</v>
      </c>
    </row>
    <row r="36" spans="1:26" s="24" customFormat="1" hidden="1" outlineLevel="1" x14ac:dyDescent="0.25">
      <c r="A36" s="44"/>
      <c r="B36" s="11" t="str">
        <f>CONCATENATE("          ", "5044", " - ", "PURCHASES @ COST-ACCESSORIES")</f>
        <v xml:space="preserve">          5044 - PURCHASES @ COST-ACCESSORIES</v>
      </c>
      <c r="C36" s="11"/>
      <c r="D36" s="2"/>
      <c r="E36" s="2"/>
      <c r="F36" s="19">
        <f t="shared" si="5"/>
        <v>0</v>
      </c>
      <c r="G36" s="2"/>
      <c r="H36" s="2"/>
      <c r="I36" s="2"/>
      <c r="J36" s="19">
        <f t="shared" si="6"/>
        <v>0</v>
      </c>
      <c r="K36" s="2"/>
      <c r="L36" s="2">
        <f t="shared" si="7"/>
        <v>0</v>
      </c>
      <c r="M36" s="2"/>
      <c r="N36" s="19">
        <f t="shared" si="8"/>
        <v>0</v>
      </c>
      <c r="O36" s="11"/>
      <c r="P36" s="2">
        <v>0</v>
      </c>
      <c r="Q36" s="2"/>
      <c r="R36" s="19">
        <f t="shared" si="9"/>
        <v>0</v>
      </c>
      <c r="S36" s="2"/>
      <c r="T36" s="2"/>
      <c r="U36" s="2"/>
      <c r="V36" s="19">
        <f t="shared" si="10"/>
        <v>0</v>
      </c>
      <c r="W36" s="2"/>
      <c r="X36" s="2">
        <f t="shared" si="11"/>
        <v>0</v>
      </c>
      <c r="Y36" s="2"/>
      <c r="Z36" s="19">
        <f t="shared" si="12"/>
        <v>0</v>
      </c>
    </row>
    <row r="37" spans="1:26" s="24" customFormat="1" hidden="1" outlineLevel="1" x14ac:dyDescent="0.25">
      <c r="A37" s="44"/>
      <c r="B37" s="11" t="str">
        <f>CONCATENATE("          ", "5045", " - ", "PURCHASES @ COST-SPECIAL ORDER")</f>
        <v xml:space="preserve">          5045 - PURCHASES @ COST-SPECIAL ORDER</v>
      </c>
      <c r="C37" s="11"/>
      <c r="D37" s="2"/>
      <c r="E37" s="2"/>
      <c r="F37" s="19">
        <f t="shared" si="5"/>
        <v>0</v>
      </c>
      <c r="G37" s="2"/>
      <c r="H37" s="2"/>
      <c r="I37" s="2"/>
      <c r="J37" s="19">
        <f t="shared" si="6"/>
        <v>0</v>
      </c>
      <c r="K37" s="2"/>
      <c r="L37" s="2">
        <f t="shared" si="7"/>
        <v>0</v>
      </c>
      <c r="M37" s="2"/>
      <c r="N37" s="19">
        <f t="shared" si="8"/>
        <v>0</v>
      </c>
      <c r="O37" s="11"/>
      <c r="P37" s="2">
        <v>0</v>
      </c>
      <c r="Q37" s="2"/>
      <c r="R37" s="19">
        <f t="shared" si="9"/>
        <v>0</v>
      </c>
      <c r="S37" s="2"/>
      <c r="T37" s="2"/>
      <c r="U37" s="2"/>
      <c r="V37" s="19">
        <f t="shared" si="10"/>
        <v>0</v>
      </c>
      <c r="W37" s="2"/>
      <c r="X37" s="2">
        <f t="shared" si="11"/>
        <v>0</v>
      </c>
      <c r="Y37" s="2"/>
      <c r="Z37" s="19">
        <f t="shared" si="12"/>
        <v>0</v>
      </c>
    </row>
    <row r="38" spans="1:26" s="24" customFormat="1" hidden="1" outlineLevel="1" x14ac:dyDescent="0.25">
      <c r="A38" s="44"/>
      <c r="B38" s="11" t="str">
        <f>CONCATENATE("          ", "5053", " - ", "PURCHASES @ COST-FOOD")</f>
        <v xml:space="preserve">          5053 - PURCHASES @ COST-FOOD</v>
      </c>
      <c r="C38" s="11"/>
      <c r="D38" s="2">
        <v>12727.12</v>
      </c>
      <c r="E38" s="2"/>
      <c r="F38" s="19">
        <f t="shared" si="5"/>
        <v>2.2085962433810204E-2</v>
      </c>
      <c r="G38" s="2"/>
      <c r="H38" s="2"/>
      <c r="I38" s="2"/>
      <c r="J38" s="19">
        <f t="shared" si="6"/>
        <v>0</v>
      </c>
      <c r="K38" s="2"/>
      <c r="L38" s="2">
        <f t="shared" si="7"/>
        <v>12727.12</v>
      </c>
      <c r="M38" s="2"/>
      <c r="N38" s="19">
        <f t="shared" si="8"/>
        <v>0</v>
      </c>
      <c r="O38" s="11"/>
      <c r="P38" s="2">
        <v>36083</v>
      </c>
      <c r="Q38" s="2"/>
      <c r="R38" s="19">
        <f t="shared" si="9"/>
        <v>1.2370845635667278E-2</v>
      </c>
      <c r="S38" s="2"/>
      <c r="T38" s="2"/>
      <c r="U38" s="2"/>
      <c r="V38" s="19">
        <f t="shared" si="10"/>
        <v>0</v>
      </c>
      <c r="W38" s="2"/>
      <c r="X38" s="2">
        <f t="shared" si="11"/>
        <v>36083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"5059", " - ", "PURCHASES @ COST-FOOD")</f>
        <v xml:space="preserve">          5059 - PURCHASES @ COST-FOOD</v>
      </c>
      <c r="C39" s="11"/>
      <c r="D39" s="2">
        <v>-579.55999999999995</v>
      </c>
      <c r="E39" s="2"/>
      <c r="F39" s="19">
        <f t="shared" si="5"/>
        <v>-1.0057373850595453E-3</v>
      </c>
      <c r="G39" s="2"/>
      <c r="H39" s="2"/>
      <c r="I39" s="2"/>
      <c r="J39" s="19">
        <f t="shared" si="6"/>
        <v>0</v>
      </c>
      <c r="K39" s="2"/>
      <c r="L39" s="2">
        <f t="shared" si="7"/>
        <v>-579.55999999999995</v>
      </c>
      <c r="M39" s="2"/>
      <c r="N39" s="19">
        <f t="shared" si="8"/>
        <v>0</v>
      </c>
      <c r="O39" s="11"/>
      <c r="P39" s="2">
        <v>-12717.16</v>
      </c>
      <c r="Q39" s="2"/>
      <c r="R39" s="19">
        <f t="shared" si="9"/>
        <v>-4.360003970958138E-3</v>
      </c>
      <c r="S39" s="2"/>
      <c r="T39" s="2"/>
      <c r="U39" s="2"/>
      <c r="V39" s="19">
        <f t="shared" si="10"/>
        <v>0</v>
      </c>
      <c r="W39" s="2"/>
      <c r="X39" s="2">
        <f t="shared" si="11"/>
        <v>-12717.16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"5200", " - ", "PURCHASES OFFSET")</f>
        <v xml:space="preserve">          5200 - PURCHASES OFFSET</v>
      </c>
      <c r="C40" s="11"/>
      <c r="D40" s="2">
        <v>-764729.36</v>
      </c>
      <c r="E40" s="2"/>
      <c r="F40" s="19">
        <f t="shared" si="5"/>
        <v>-1.3270703754652833</v>
      </c>
      <c r="G40" s="2"/>
      <c r="H40" s="2"/>
      <c r="I40" s="2"/>
      <c r="J40" s="19">
        <f t="shared" si="6"/>
        <v>0</v>
      </c>
      <c r="K40" s="2"/>
      <c r="L40" s="2">
        <f t="shared" si="7"/>
        <v>-764729.36</v>
      </c>
      <c r="M40" s="2"/>
      <c r="N40" s="19">
        <f t="shared" si="8"/>
        <v>0</v>
      </c>
      <c r="O40" s="11"/>
      <c r="P40" s="2">
        <v>-2112354.9900000002</v>
      </c>
      <c r="Q40" s="2"/>
      <c r="R40" s="19">
        <f t="shared" si="9"/>
        <v>-0.72420856106813458</v>
      </c>
      <c r="S40" s="2"/>
      <c r="T40" s="2"/>
      <c r="U40" s="2"/>
      <c r="V40" s="19">
        <f t="shared" si="10"/>
        <v>0</v>
      </c>
      <c r="W40" s="2"/>
      <c r="X40" s="2">
        <f t="shared" si="11"/>
        <v>-2112354.9900000002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"5300", " - ", "COG$ OFFSET")</f>
        <v xml:space="preserve">          5300 - COG$ OFFSET</v>
      </c>
      <c r="C41" s="11"/>
      <c r="D41" s="2">
        <v>308234.86</v>
      </c>
      <c r="E41" s="2"/>
      <c r="F41" s="19">
        <f t="shared" si="5"/>
        <v>0.53489426820449137</v>
      </c>
      <c r="G41" s="2"/>
      <c r="H41" s="2"/>
      <c r="I41" s="2"/>
      <c r="J41" s="19">
        <f t="shared" si="6"/>
        <v>0</v>
      </c>
      <c r="K41" s="2"/>
      <c r="L41" s="2">
        <f t="shared" si="7"/>
        <v>308234.86</v>
      </c>
      <c r="M41" s="2"/>
      <c r="N41" s="19">
        <f t="shared" si="8"/>
        <v>0</v>
      </c>
      <c r="O41" s="11"/>
      <c r="P41" s="2">
        <v>1562332.81</v>
      </c>
      <c r="Q41" s="2"/>
      <c r="R41" s="19">
        <f t="shared" si="9"/>
        <v>0.53563667167497975</v>
      </c>
      <c r="S41" s="2"/>
      <c r="T41" s="2"/>
      <c r="U41" s="2"/>
      <c r="V41" s="19">
        <f t="shared" si="10"/>
        <v>0</v>
      </c>
      <c r="W41" s="2"/>
      <c r="X41" s="2">
        <f t="shared" si="11"/>
        <v>1562332.81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"5500", " - ", "FREIGHT-IN")</f>
        <v xml:space="preserve">          5500 - FREIGHT-IN</v>
      </c>
      <c r="C42" s="11"/>
      <c r="D42" s="2">
        <v>22295.17</v>
      </c>
      <c r="E42" s="2"/>
      <c r="F42" s="19">
        <f t="shared" si="5"/>
        <v>3.8689843976910103E-2</v>
      </c>
      <c r="G42" s="2"/>
      <c r="H42" s="2"/>
      <c r="I42" s="2"/>
      <c r="J42" s="19">
        <f t="shared" si="6"/>
        <v>0</v>
      </c>
      <c r="K42" s="2"/>
      <c r="L42" s="2">
        <f t="shared" si="7"/>
        <v>22295.17</v>
      </c>
      <c r="M42" s="2"/>
      <c r="N42" s="19">
        <f t="shared" si="8"/>
        <v>0</v>
      </c>
      <c r="O42" s="11"/>
      <c r="P42" s="2">
        <v>49635.96</v>
      </c>
      <c r="Q42" s="2"/>
      <c r="R42" s="19">
        <f t="shared" si="9"/>
        <v>1.7017398751161365E-2</v>
      </c>
      <c r="S42" s="2"/>
      <c r="T42" s="2"/>
      <c r="U42" s="2"/>
      <c r="V42" s="19">
        <f t="shared" si="10"/>
        <v>0</v>
      </c>
      <c r="W42" s="2"/>
      <c r="X42" s="2">
        <f t="shared" si="11"/>
        <v>49635.96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"5501", " - ", "FREIGHT-IN-NEW TEXT")</f>
        <v xml:space="preserve">          5501 - FREIGHT-IN-NEW TEXT</v>
      </c>
      <c r="C43" s="11"/>
      <c r="D43" s="2">
        <v>0</v>
      </c>
      <c r="E43" s="2"/>
      <c r="F43" s="19">
        <f t="shared" si="5"/>
        <v>0</v>
      </c>
      <c r="G43" s="2"/>
      <c r="H43" s="2"/>
      <c r="I43" s="2"/>
      <c r="J43" s="19">
        <f t="shared" si="6"/>
        <v>0</v>
      </c>
      <c r="K43" s="2"/>
      <c r="L43" s="2">
        <f t="shared" si="7"/>
        <v>0</v>
      </c>
      <c r="M43" s="2"/>
      <c r="N43" s="19">
        <f t="shared" si="8"/>
        <v>0</v>
      </c>
      <c r="O43" s="11"/>
      <c r="P43" s="2">
        <v>0</v>
      </c>
      <c r="Q43" s="2"/>
      <c r="R43" s="19">
        <f t="shared" si="9"/>
        <v>0</v>
      </c>
      <c r="S43" s="2"/>
      <c r="T43" s="2"/>
      <c r="U43" s="2"/>
      <c r="V43" s="19">
        <f t="shared" si="10"/>
        <v>0</v>
      </c>
      <c r="W43" s="2"/>
      <c r="X43" s="2">
        <f t="shared" si="11"/>
        <v>0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"5502", " - ", "FREIGHT-IN-USED TEXT")</f>
        <v xml:space="preserve">          5502 - FREIGHT-IN-USED TEXT</v>
      </c>
      <c r="C44" s="11"/>
      <c r="D44" s="2"/>
      <c r="E44" s="2"/>
      <c r="F44" s="19">
        <f t="shared" si="5"/>
        <v>0</v>
      </c>
      <c r="G44" s="2"/>
      <c r="H44" s="2"/>
      <c r="I44" s="2"/>
      <c r="J44" s="19">
        <f t="shared" si="6"/>
        <v>0</v>
      </c>
      <c r="K44" s="2"/>
      <c r="L44" s="2">
        <f t="shared" si="7"/>
        <v>0</v>
      </c>
      <c r="M44" s="2"/>
      <c r="N44" s="19">
        <f t="shared" si="8"/>
        <v>0</v>
      </c>
      <c r="O44" s="11"/>
      <c r="P44" s="2">
        <v>0</v>
      </c>
      <c r="Q44" s="2"/>
      <c r="R44" s="19">
        <f t="shared" si="9"/>
        <v>0</v>
      </c>
      <c r="S44" s="2"/>
      <c r="T44" s="2"/>
      <c r="U44" s="2"/>
      <c r="V44" s="19">
        <f t="shared" si="10"/>
        <v>0</v>
      </c>
      <c r="W44" s="2"/>
      <c r="X44" s="2">
        <f t="shared" si="11"/>
        <v>0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"5518", " - ", "FREIGHT-IN-STUDY GUIDES")</f>
        <v xml:space="preserve">          5518 - FREIGHT-IN-STUDY GUIDES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0</v>
      </c>
      <c r="Q45" s="2"/>
      <c r="R45" s="19">
        <f t="shared" si="9"/>
        <v>0</v>
      </c>
      <c r="S45" s="2"/>
      <c r="T45" s="2"/>
      <c r="U45" s="2"/>
      <c r="V45" s="19">
        <f t="shared" si="10"/>
        <v>0</v>
      </c>
      <c r="W45" s="2"/>
      <c r="X45" s="2">
        <f t="shared" si="11"/>
        <v>0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"5527", " - ", "FREIGHT-IN-SCHOOL SUPPLIES")</f>
        <v xml:space="preserve">          5527 - FREIGHT-IN-SCHOOL SUPPLIES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0</v>
      </c>
      <c r="Q46" s="2"/>
      <c r="R46" s="19">
        <f t="shared" si="9"/>
        <v>0</v>
      </c>
      <c r="S46" s="2"/>
      <c r="T46" s="2"/>
      <c r="U46" s="2"/>
      <c r="V46" s="19">
        <f t="shared" si="10"/>
        <v>0</v>
      </c>
      <c r="W46" s="2"/>
      <c r="X46" s="2">
        <f t="shared" si="11"/>
        <v>0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"5528", " - ", "FREIGHT-IN-ART/TECH")</f>
        <v xml:space="preserve">          5528 - FREIGHT-IN-ART/TECH</v>
      </c>
      <c r="C47" s="11"/>
      <c r="D47" s="2"/>
      <c r="E47" s="2"/>
      <c r="F47" s="19">
        <f t="shared" si="5"/>
        <v>0</v>
      </c>
      <c r="G47" s="2"/>
      <c r="H47" s="2"/>
      <c r="I47" s="2"/>
      <c r="J47" s="19">
        <f t="shared" si="6"/>
        <v>0</v>
      </c>
      <c r="K47" s="2"/>
      <c r="L47" s="2">
        <f t="shared" si="7"/>
        <v>0</v>
      </c>
      <c r="M47" s="2"/>
      <c r="N47" s="19">
        <f t="shared" si="8"/>
        <v>0</v>
      </c>
      <c r="O47" s="11"/>
      <c r="P47" s="2">
        <v>0</v>
      </c>
      <c r="Q47" s="2"/>
      <c r="R47" s="19">
        <f t="shared" si="9"/>
        <v>0</v>
      </c>
      <c r="S47" s="2"/>
      <c r="T47" s="2"/>
      <c r="U47" s="2"/>
      <c r="V47" s="19">
        <f t="shared" si="10"/>
        <v>0</v>
      </c>
      <c r="W47" s="2"/>
      <c r="X47" s="2">
        <f t="shared" si="11"/>
        <v>0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"5540", " - ", "FREIGHT-IN-LOGO CLOTHING")</f>
        <v xml:space="preserve">          5540 - FREIGHT-IN-LOGO CLOTHING</v>
      </c>
      <c r="C48" s="11"/>
      <c r="D48" s="2"/>
      <c r="E48" s="2"/>
      <c r="F48" s="19">
        <f t="shared" si="5"/>
        <v>0</v>
      </c>
      <c r="G48" s="2"/>
      <c r="H48" s="2"/>
      <c r="I48" s="2"/>
      <c r="J48" s="19">
        <f t="shared" si="6"/>
        <v>0</v>
      </c>
      <c r="K48" s="2"/>
      <c r="L48" s="2">
        <f t="shared" si="7"/>
        <v>0</v>
      </c>
      <c r="M48" s="2"/>
      <c r="N48" s="19">
        <f t="shared" si="8"/>
        <v>0</v>
      </c>
      <c r="O48" s="11"/>
      <c r="P48" s="2">
        <v>0</v>
      </c>
      <c r="Q48" s="2"/>
      <c r="R48" s="19">
        <f t="shared" si="9"/>
        <v>0</v>
      </c>
      <c r="S48" s="2"/>
      <c r="T48" s="2"/>
      <c r="U48" s="2"/>
      <c r="V48" s="19">
        <f t="shared" si="10"/>
        <v>0</v>
      </c>
      <c r="W48" s="2"/>
      <c r="X48" s="2">
        <f t="shared" si="11"/>
        <v>0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"5541", " - ", "FREIGHT-IN-LOGO GIFTS")</f>
        <v xml:space="preserve">          5541 - FREIGHT-IN-LOGO GIFTS</v>
      </c>
      <c r="C49" s="11"/>
      <c r="D49" s="2"/>
      <c r="E49" s="2"/>
      <c r="F49" s="19">
        <f t="shared" si="5"/>
        <v>0</v>
      </c>
      <c r="G49" s="2"/>
      <c r="H49" s="2"/>
      <c r="I49" s="2"/>
      <c r="J49" s="19">
        <f t="shared" si="6"/>
        <v>0</v>
      </c>
      <c r="K49" s="2"/>
      <c r="L49" s="2">
        <f t="shared" si="7"/>
        <v>0</v>
      </c>
      <c r="M49" s="2"/>
      <c r="N49" s="19">
        <f t="shared" si="8"/>
        <v>0</v>
      </c>
      <c r="O49" s="11"/>
      <c r="P49" s="2">
        <v>0</v>
      </c>
      <c r="Q49" s="2"/>
      <c r="R49" s="19">
        <f t="shared" si="9"/>
        <v>0</v>
      </c>
      <c r="S49" s="2"/>
      <c r="T49" s="2"/>
      <c r="U49" s="2"/>
      <c r="V49" s="19">
        <f t="shared" si="10"/>
        <v>0</v>
      </c>
      <c r="W49" s="2"/>
      <c r="X49" s="2">
        <f t="shared" si="11"/>
        <v>0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"5542", " - ", "FREIGHT-IN-EVERYDAY GIFTS")</f>
        <v xml:space="preserve">          5542 - FREIGHT-IN-EVERYDAY GIFTS</v>
      </c>
      <c r="C50" s="11"/>
      <c r="D50" s="2"/>
      <c r="E50" s="2"/>
      <c r="F50" s="19">
        <f t="shared" si="5"/>
        <v>0</v>
      </c>
      <c r="G50" s="2"/>
      <c r="H50" s="2"/>
      <c r="I50" s="2"/>
      <c r="J50" s="19">
        <f t="shared" si="6"/>
        <v>0</v>
      </c>
      <c r="K50" s="2"/>
      <c r="L50" s="2">
        <f t="shared" si="7"/>
        <v>0</v>
      </c>
      <c r="M50" s="2"/>
      <c r="N50" s="19">
        <f t="shared" si="8"/>
        <v>0</v>
      </c>
      <c r="O50" s="11"/>
      <c r="P50" s="2">
        <v>0</v>
      </c>
      <c r="Q50" s="2"/>
      <c r="R50" s="19">
        <f t="shared" si="9"/>
        <v>0</v>
      </c>
      <c r="S50" s="2"/>
      <c r="T50" s="2"/>
      <c r="U50" s="2"/>
      <c r="V50" s="19">
        <f t="shared" si="10"/>
        <v>0</v>
      </c>
      <c r="W50" s="2"/>
      <c r="X50" s="2">
        <f t="shared" si="11"/>
        <v>0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"5544", " - ", "FREIGHT-IN-ACCESSORIES")</f>
        <v xml:space="preserve">          5544 - FREIGHT-IN-ACCESSORIES</v>
      </c>
      <c r="C51" s="11"/>
      <c r="D51" s="2"/>
      <c r="E51" s="2"/>
      <c r="F51" s="19">
        <f t="shared" si="5"/>
        <v>0</v>
      </c>
      <c r="G51" s="2"/>
      <c r="H51" s="2"/>
      <c r="I51" s="2"/>
      <c r="J51" s="19">
        <f t="shared" si="6"/>
        <v>0</v>
      </c>
      <c r="K51" s="2"/>
      <c r="L51" s="2">
        <f t="shared" si="7"/>
        <v>0</v>
      </c>
      <c r="M51" s="2"/>
      <c r="N51" s="19">
        <f t="shared" si="8"/>
        <v>0</v>
      </c>
      <c r="O51" s="11"/>
      <c r="P51" s="2">
        <v>0</v>
      </c>
      <c r="Q51" s="2"/>
      <c r="R51" s="19">
        <f t="shared" si="9"/>
        <v>0</v>
      </c>
      <c r="S51" s="2"/>
      <c r="T51" s="2"/>
      <c r="U51" s="2"/>
      <c r="V51" s="19">
        <f t="shared" si="10"/>
        <v>0</v>
      </c>
      <c r="W51" s="2"/>
      <c r="X51" s="2">
        <f t="shared" si="11"/>
        <v>0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"5545", " - ", "FREIGHT-IN-SPECIAL ORDERS")</f>
        <v xml:space="preserve">          5545 - FREIGHT-IN-SPECIAL ORDERS</v>
      </c>
      <c r="C52" s="11"/>
      <c r="D52" s="2"/>
      <c r="E52" s="2"/>
      <c r="F52" s="19">
        <f t="shared" si="5"/>
        <v>0</v>
      </c>
      <c r="G52" s="2"/>
      <c r="H52" s="2"/>
      <c r="I52" s="2"/>
      <c r="J52" s="19">
        <f t="shared" si="6"/>
        <v>0</v>
      </c>
      <c r="K52" s="2"/>
      <c r="L52" s="2">
        <f t="shared" si="7"/>
        <v>0</v>
      </c>
      <c r="M52" s="2"/>
      <c r="N52" s="19">
        <f t="shared" si="8"/>
        <v>0</v>
      </c>
      <c r="O52" s="11"/>
      <c r="P52" s="2">
        <v>0</v>
      </c>
      <c r="Q52" s="2"/>
      <c r="R52" s="19">
        <f t="shared" si="9"/>
        <v>0</v>
      </c>
      <c r="S52" s="2"/>
      <c r="T52" s="2"/>
      <c r="U52" s="2"/>
      <c r="V52" s="19">
        <f t="shared" si="10"/>
        <v>0</v>
      </c>
      <c r="W52" s="2"/>
      <c r="X52" s="2">
        <f t="shared" si="11"/>
        <v>0</v>
      </c>
      <c r="Y52" s="2"/>
      <c r="Z52" s="19">
        <f t="shared" si="12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6" t="s">
        <v>108</v>
      </c>
      <c r="C54" s="26"/>
      <c r="D54" s="21">
        <f>D12-D23</f>
        <v>253427.05</v>
      </c>
      <c r="E54" s="13"/>
      <c r="F54" s="20">
        <f>IF(D$12=0,0,D54/D$12)</f>
        <v>0.43978373001993692</v>
      </c>
      <c r="G54" s="13"/>
      <c r="H54" s="21">
        <f>H12-H23</f>
        <v>220252</v>
      </c>
      <c r="I54" s="13"/>
      <c r="J54" s="20">
        <f>IF(H$12=0,0,H54/H$12)</f>
        <v>0.50709932609931918</v>
      </c>
      <c r="K54" s="15"/>
      <c r="L54" s="21">
        <f>+D54-H54</f>
        <v>33175.049999999988</v>
      </c>
      <c r="M54" s="15"/>
      <c r="N54" s="20">
        <f>IF(H54=0,0,L54/H54)</f>
        <v>0.15062314984653938</v>
      </c>
      <c r="O54" s="25"/>
      <c r="P54" s="21">
        <f>P12-P23</f>
        <v>1077660.4200000004</v>
      </c>
      <c r="Q54" s="13"/>
      <c r="R54" s="20">
        <f>IF(P$12=0,0,P54/P$12)</f>
        <v>0.36946957579714468</v>
      </c>
      <c r="S54" s="13"/>
      <c r="T54" s="21">
        <f>T12-T23</f>
        <v>1576496</v>
      </c>
      <c r="U54" s="13"/>
      <c r="V54" s="20">
        <f>IF(T$12=0,0,T54/T$12)</f>
        <v>0.36005834033353384</v>
      </c>
      <c r="W54" s="15"/>
      <c r="X54" s="21">
        <f>+P54-T54</f>
        <v>-498835.57999999961</v>
      </c>
      <c r="Y54" s="15"/>
      <c r="Z54" s="20">
        <f>IF(T54=0,0,X54/T54)</f>
        <v>-0.31642045396880147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5" t="s">
        <v>295</v>
      </c>
      <c r="C56" s="10"/>
      <c r="D56" s="22">
        <f>SUM(OSRRefD22x_0)</f>
        <v>351602.15</v>
      </c>
      <c r="E56" s="22"/>
      <c r="F56" s="34">
        <f t="shared" ref="F56:F67" si="13">IF(D$12=0,0,D56/D$12)</f>
        <v>0.61015154069003041</v>
      </c>
      <c r="G56" s="22"/>
      <c r="H56" s="22">
        <f>SUM(OSRRefH22x_0)</f>
        <v>416014.71067114105</v>
      </c>
      <c r="I56" s="22"/>
      <c r="J56" s="34">
        <f t="shared" ref="J56:J67" si="14">IF(H$12=0,0,H56/H$12)</f>
        <v>0.95781549964921486</v>
      </c>
      <c r="K56" s="4"/>
      <c r="L56" s="22">
        <f t="shared" ref="L56:L67" si="15">+D56-H56</f>
        <v>-64412.560671141022</v>
      </c>
      <c r="M56" s="4"/>
      <c r="N56" s="34">
        <f t="shared" ref="N56:N67" si="16">IF(H56=0,0,L56/H56)</f>
        <v>-0.15483241101553027</v>
      </c>
      <c r="O56" s="10"/>
      <c r="P56" s="22">
        <f>SUM(OSRRefP22x_0)</f>
        <v>1405339.8799999994</v>
      </c>
      <c r="Q56" s="22"/>
      <c r="R56" s="34">
        <f t="shared" ref="R56:R67" si="17">IF(P$12=0,0,P56/P$12)</f>
        <v>0.48181256328817362</v>
      </c>
      <c r="S56" s="22"/>
      <c r="T56" s="22">
        <f>SUM(OSRRefT22x_0)</f>
        <v>1584010.9940113006</v>
      </c>
      <c r="U56" s="22"/>
      <c r="V56" s="34">
        <f t="shared" ref="V56:V67" si="18">IF(T$12=0,0,T56/T$12)</f>
        <v>0.36177470134639106</v>
      </c>
      <c r="W56" s="4"/>
      <c r="X56" s="22">
        <f t="shared" ref="X56:X67" si="19">+P56-T56</f>
        <v>-178671.11401130119</v>
      </c>
      <c r="Y56" s="4"/>
      <c r="Z56" s="34">
        <f t="shared" ref="Z56:Z67" si="20">IF(T56=0,0,X56/T56)</f>
        <v>-0.11279663757815214</v>
      </c>
    </row>
    <row r="57" spans="1:26" s="28" customFormat="1" outlineLevel="1" collapsed="1" x14ac:dyDescent="0.25">
      <c r="A57" s="29"/>
      <c r="B57" s="14" t="str">
        <f>CONCATENATE("     ","*Benefits                                         ")</f>
        <v xml:space="preserve">     *Benefits                                         </v>
      </c>
      <c r="C57" s="14"/>
      <c r="D57" s="1">
        <f>SUM(OSRRefD22_0x_0)</f>
        <v>60766.619999999988</v>
      </c>
      <c r="E57" s="1"/>
      <c r="F57" s="5">
        <f t="shared" si="13"/>
        <v>0.10545113792826809</v>
      </c>
      <c r="G57" s="1"/>
      <c r="H57" s="1">
        <f>SUM(OSRRefH22_0x_0)</f>
        <v>55161.167778035204</v>
      </c>
      <c r="I57" s="1"/>
      <c r="J57" s="5">
        <f t="shared" si="14"/>
        <v>0.12700084905968223</v>
      </c>
      <c r="K57" s="1"/>
      <c r="L57" s="1">
        <f t="shared" si="15"/>
        <v>5605.4522219647843</v>
      </c>
      <c r="M57" s="1"/>
      <c r="N57" s="5">
        <f t="shared" si="16"/>
        <v>0.10161953504176605</v>
      </c>
      <c r="O57" s="14"/>
      <c r="P57" s="1">
        <f>SUM(OSRRefP22_0x_0)</f>
        <v>206923.77</v>
      </c>
      <c r="Q57" s="1"/>
      <c r="R57" s="5">
        <f t="shared" si="17"/>
        <v>7.0942605022318528E-2</v>
      </c>
      <c r="S57" s="1"/>
      <c r="T57" s="1">
        <f>SUM(OSRRefT22_0x_0)</f>
        <v>222359.30655765792</v>
      </c>
      <c r="U57" s="1"/>
      <c r="V57" s="5">
        <f t="shared" si="18"/>
        <v>5.0784983201267737E-2</v>
      </c>
      <c r="W57" s="1"/>
      <c r="X57" s="1">
        <f t="shared" si="19"/>
        <v>-15435.536557657935</v>
      </c>
      <c r="Y57" s="1"/>
      <c r="Z57" s="5">
        <f t="shared" si="20"/>
        <v>-6.9417092527474175E-2</v>
      </c>
    </row>
    <row r="58" spans="1:26" s="24" customFormat="1" hidden="1" outlineLevel="2" x14ac:dyDescent="0.25">
      <c r="A58" s="27"/>
      <c r="B58" s="11" t="str">
        <f>CONCATENATE("          ", "6111", " - ", "F.I.C.A.")</f>
        <v xml:space="preserve">          6111 - F.I.C.A.</v>
      </c>
      <c r="C58" s="11"/>
      <c r="D58" s="7">
        <v>11022.23</v>
      </c>
      <c r="E58" s="2"/>
      <c r="F58" s="6">
        <f t="shared" si="13"/>
        <v>1.9127387634972862E-2</v>
      </c>
      <c r="G58" s="2"/>
      <c r="H58" s="7">
        <v>11604.9323969939</v>
      </c>
      <c r="I58" s="2"/>
      <c r="J58" s="6">
        <f t="shared" si="14"/>
        <v>2.6718728537964528E-2</v>
      </c>
      <c r="K58" s="2"/>
      <c r="L58" s="7">
        <f t="shared" si="15"/>
        <v>-582.70239699390004</v>
      </c>
      <c r="M58" s="2"/>
      <c r="N58" s="6">
        <f t="shared" si="16"/>
        <v>-5.02116149461449E-2</v>
      </c>
      <c r="O58" s="11"/>
      <c r="P58" s="7">
        <v>40901.43</v>
      </c>
      <c r="Q58" s="2"/>
      <c r="R58" s="6">
        <f t="shared" si="17"/>
        <v>1.4022816196215688E-2</v>
      </c>
      <c r="S58" s="2"/>
      <c r="T58" s="7">
        <v>45393.6887493705</v>
      </c>
      <c r="U58" s="2"/>
      <c r="V58" s="6">
        <f t="shared" si="18"/>
        <v>1.0367534223185692E-2</v>
      </c>
      <c r="W58" s="2"/>
      <c r="X58" s="7">
        <f t="shared" si="19"/>
        <v>-4492.2587493704996</v>
      </c>
      <c r="Y58" s="2"/>
      <c r="Z58" s="6">
        <f t="shared" si="20"/>
        <v>-9.8962187765205489E-2</v>
      </c>
    </row>
    <row r="59" spans="1:26" s="24" customFormat="1" hidden="1" outlineLevel="2" x14ac:dyDescent="0.25">
      <c r="A59" s="27"/>
      <c r="B59" s="11" t="str">
        <f>CONCATENATE("          ", "6112", " - ", "COMPENSATION INSURANCE")</f>
        <v xml:space="preserve">          6112 - COMPENSATION INSURANCE</v>
      </c>
      <c r="C59" s="11"/>
      <c r="D59" s="7">
        <v>3415.54</v>
      </c>
      <c r="E59" s="2"/>
      <c r="F59" s="6">
        <f t="shared" si="13"/>
        <v>5.9271451931918687E-3</v>
      </c>
      <c r="G59" s="2"/>
      <c r="H59" s="7">
        <v>3644.1595635807698</v>
      </c>
      <c r="I59" s="2"/>
      <c r="J59" s="6">
        <f t="shared" si="14"/>
        <v>8.3901660774485468E-3</v>
      </c>
      <c r="K59" s="2"/>
      <c r="L59" s="7">
        <f t="shared" si="15"/>
        <v>-228.61956358076986</v>
      </c>
      <c r="M59" s="2"/>
      <c r="N59" s="6">
        <f t="shared" si="16"/>
        <v>-6.2735881783432965E-2</v>
      </c>
      <c r="O59" s="11"/>
      <c r="P59" s="7">
        <v>10529.87</v>
      </c>
      <c r="Q59" s="2"/>
      <c r="R59" s="6">
        <f t="shared" si="17"/>
        <v>3.6101043797257381E-3</v>
      </c>
      <c r="S59" s="2"/>
      <c r="T59" s="7">
        <v>14250.2569088908</v>
      </c>
      <c r="U59" s="2"/>
      <c r="V59" s="6">
        <f t="shared" si="18"/>
        <v>3.2546380402752027E-3</v>
      </c>
      <c r="W59" s="2"/>
      <c r="X59" s="7">
        <f t="shared" si="19"/>
        <v>-3720.3869088907995</v>
      </c>
      <c r="Y59" s="2"/>
      <c r="Z59" s="6">
        <f t="shared" si="20"/>
        <v>-0.26107507623737175</v>
      </c>
    </row>
    <row r="60" spans="1:26" s="24" customFormat="1" hidden="1" outlineLevel="2" x14ac:dyDescent="0.25">
      <c r="A60" s="27"/>
      <c r="B60" s="11" t="str">
        <f>CONCATENATE("          ", "6113", " - ", "GROUP INSURANCE")</f>
        <v xml:space="preserve">          6113 - GROUP INSURANCE</v>
      </c>
      <c r="C60" s="11"/>
      <c r="D60" s="7">
        <v>18566.900000000001</v>
      </c>
      <c r="E60" s="2"/>
      <c r="F60" s="6">
        <f t="shared" si="13"/>
        <v>3.2220003890299664E-2</v>
      </c>
      <c r="G60" s="2"/>
      <c r="H60" s="7">
        <v>18761.1538461538</v>
      </c>
      <c r="I60" s="2"/>
      <c r="J60" s="6">
        <f t="shared" si="14"/>
        <v>4.3194924324093505E-2</v>
      </c>
      <c r="K60" s="2"/>
      <c r="L60" s="7">
        <f t="shared" si="15"/>
        <v>-194.2538461537988</v>
      </c>
      <c r="M60" s="2"/>
      <c r="N60" s="6">
        <f t="shared" si="16"/>
        <v>-1.0354045798394353E-2</v>
      </c>
      <c r="O60" s="11"/>
      <c r="P60" s="7">
        <v>72281.11</v>
      </c>
      <c r="Q60" s="2"/>
      <c r="R60" s="6">
        <f t="shared" si="17"/>
        <v>2.4781156061987265E-2</v>
      </c>
      <c r="S60" s="2"/>
      <c r="T60" s="7">
        <v>77850.653846153902</v>
      </c>
      <c r="U60" s="2"/>
      <c r="V60" s="6">
        <f t="shared" si="18"/>
        <v>1.7780430281920549E-2</v>
      </c>
      <c r="W60" s="2"/>
      <c r="X60" s="7">
        <f t="shared" si="19"/>
        <v>-5569.5438461539015</v>
      </c>
      <c r="Y60" s="2"/>
      <c r="Z60" s="6">
        <f t="shared" si="20"/>
        <v>-7.154138817074375E-2</v>
      </c>
    </row>
    <row r="61" spans="1:26" s="24" customFormat="1" hidden="1" outlineLevel="2" x14ac:dyDescent="0.25">
      <c r="A61" s="27"/>
      <c r="B61" s="11" t="str">
        <f>CONCATENATE("          ", "6114", " - ", "STATE UNEMPLOYMENT INSURANCE")</f>
        <v xml:space="preserve">          6114 - STATE UNEMPLOYMENT INSURANCE</v>
      </c>
      <c r="C61" s="11"/>
      <c r="D61" s="7">
        <v>614.05999999999995</v>
      </c>
      <c r="E61" s="2"/>
      <c r="F61" s="6">
        <f t="shared" si="13"/>
        <v>1.0656068373760513E-3</v>
      </c>
      <c r="G61" s="2"/>
      <c r="H61" s="7">
        <v>421.54769250865399</v>
      </c>
      <c r="I61" s="2"/>
      <c r="J61" s="6">
        <f t="shared" si="14"/>
        <v>9.7055441398880135E-4</v>
      </c>
      <c r="K61" s="2"/>
      <c r="L61" s="7">
        <f t="shared" si="15"/>
        <v>192.51230749134595</v>
      </c>
      <c r="M61" s="2"/>
      <c r="N61" s="6">
        <f t="shared" si="16"/>
        <v>0.45667978004029486</v>
      </c>
      <c r="O61" s="11"/>
      <c r="P61" s="7">
        <v>1900.03</v>
      </c>
      <c r="Q61" s="2"/>
      <c r="R61" s="6">
        <f t="shared" si="17"/>
        <v>6.5141417934032363E-4</v>
      </c>
      <c r="S61" s="2"/>
      <c r="T61" s="7">
        <v>1739.1915341849999</v>
      </c>
      <c r="U61" s="2"/>
      <c r="V61" s="6">
        <f t="shared" si="18"/>
        <v>3.9721662301761855E-4</v>
      </c>
      <c r="W61" s="2"/>
      <c r="X61" s="7">
        <f t="shared" si="19"/>
        <v>160.83846581500006</v>
      </c>
      <c r="Y61" s="2"/>
      <c r="Z61" s="6">
        <f t="shared" si="20"/>
        <v>9.2478868861542815E-2</v>
      </c>
    </row>
    <row r="62" spans="1:26" s="24" customFormat="1" hidden="1" outlineLevel="2" x14ac:dyDescent="0.25">
      <c r="A62" s="27"/>
      <c r="B62" s="11" t="str">
        <f>CONCATENATE("          ", "6115", " - ", "P.E.R.S.")</f>
        <v xml:space="preserve">          6115 - P.E.R.S.</v>
      </c>
      <c r="C62" s="11"/>
      <c r="D62" s="7">
        <v>9444.34</v>
      </c>
      <c r="E62" s="2"/>
      <c r="F62" s="6">
        <f t="shared" si="13"/>
        <v>1.6389201834518023E-2</v>
      </c>
      <c r="G62" s="2"/>
      <c r="H62" s="7">
        <v>5766.90857321154</v>
      </c>
      <c r="I62" s="2"/>
      <c r="J62" s="6">
        <f t="shared" si="14"/>
        <v>1.3277497825908315E-2</v>
      </c>
      <c r="K62" s="2"/>
      <c r="L62" s="7">
        <f t="shared" si="15"/>
        <v>3677.4314267884602</v>
      </c>
      <c r="M62" s="2"/>
      <c r="N62" s="6">
        <f t="shared" si="16"/>
        <v>0.63767812166658489</v>
      </c>
      <c r="O62" s="11"/>
      <c r="P62" s="7">
        <v>28333.03</v>
      </c>
      <c r="Q62" s="2"/>
      <c r="R62" s="6">
        <f t="shared" si="17"/>
        <v>9.7138137217174306E-3</v>
      </c>
      <c r="S62" s="2"/>
      <c r="T62" s="7">
        <v>22578.464325100002</v>
      </c>
      <c r="U62" s="2"/>
      <c r="V62" s="6">
        <f t="shared" si="18"/>
        <v>5.1567301104318754E-3</v>
      </c>
      <c r="W62" s="2"/>
      <c r="X62" s="7">
        <f t="shared" si="19"/>
        <v>5754.5656748999972</v>
      </c>
      <c r="Y62" s="2"/>
      <c r="Z62" s="6">
        <f t="shared" si="20"/>
        <v>0.254869666600964</v>
      </c>
    </row>
    <row r="63" spans="1:26" s="24" customFormat="1" hidden="1" outlineLevel="2" x14ac:dyDescent="0.25">
      <c r="A63" s="27"/>
      <c r="B63" s="11" t="str">
        <f>CONCATENATE("          ", "6116", " - ", "EDUCATIONAL BENEFITS")</f>
        <v xml:space="preserve">          6116 - EDUCATIONAL BENEFITS</v>
      </c>
      <c r="C63" s="11"/>
      <c r="D63" s="7"/>
      <c r="E63" s="2"/>
      <c r="F63" s="6">
        <f t="shared" si="13"/>
        <v>0</v>
      </c>
      <c r="G63" s="2"/>
      <c r="H63" s="7">
        <v>0</v>
      </c>
      <c r="I63" s="2"/>
      <c r="J63" s="6">
        <f t="shared" si="14"/>
        <v>0</v>
      </c>
      <c r="K63" s="2"/>
      <c r="L63" s="7">
        <f t="shared" si="15"/>
        <v>0</v>
      </c>
      <c r="M63" s="2"/>
      <c r="N63" s="6">
        <f t="shared" si="16"/>
        <v>0</v>
      </c>
      <c r="O63" s="11"/>
      <c r="P63" s="7"/>
      <c r="Q63" s="2"/>
      <c r="R63" s="6">
        <f t="shared" si="17"/>
        <v>0</v>
      </c>
      <c r="S63" s="2"/>
      <c r="T63" s="7">
        <v>0</v>
      </c>
      <c r="U63" s="2"/>
      <c r="V63" s="6">
        <f t="shared" si="18"/>
        <v>0</v>
      </c>
      <c r="W63" s="2"/>
      <c r="X63" s="7">
        <f t="shared" si="19"/>
        <v>0</v>
      </c>
      <c r="Y63" s="2"/>
      <c r="Z63" s="6">
        <f t="shared" si="20"/>
        <v>0</v>
      </c>
    </row>
    <row r="64" spans="1:26" s="24" customFormat="1" hidden="1" outlineLevel="2" x14ac:dyDescent="0.25">
      <c r="A64" s="27"/>
      <c r="B64" s="11" t="str">
        <f>CONCATENATE("          ", "6117", " - ", "RETIREMENT STAFF HOURLY")</f>
        <v xml:space="preserve">          6117 - RETIREMENT STAFF HOURLY</v>
      </c>
      <c r="C64" s="11"/>
      <c r="D64" s="7">
        <v>576.07000000000005</v>
      </c>
      <c r="E64" s="2"/>
      <c r="F64" s="6">
        <f t="shared" si="13"/>
        <v>9.9968102597013651E-4</v>
      </c>
      <c r="G64" s="2"/>
      <c r="H64" s="7"/>
      <c r="I64" s="2"/>
      <c r="J64" s="6">
        <f t="shared" si="14"/>
        <v>0</v>
      </c>
      <c r="K64" s="2"/>
      <c r="L64" s="7">
        <f t="shared" si="15"/>
        <v>576.07000000000005</v>
      </c>
      <c r="M64" s="2"/>
      <c r="N64" s="6">
        <f t="shared" si="16"/>
        <v>0</v>
      </c>
      <c r="O64" s="11"/>
      <c r="P64" s="7">
        <v>2515.7199999999998</v>
      </c>
      <c r="Q64" s="2"/>
      <c r="R64" s="6">
        <f t="shared" si="17"/>
        <v>8.6249989697533144E-4</v>
      </c>
      <c r="S64" s="2"/>
      <c r="T64" s="7"/>
      <c r="U64" s="2"/>
      <c r="V64" s="6">
        <f t="shared" si="18"/>
        <v>0</v>
      </c>
      <c r="W64" s="2"/>
      <c r="X64" s="7">
        <f t="shared" si="19"/>
        <v>2515.7199999999998</v>
      </c>
      <c r="Y64" s="2"/>
      <c r="Z64" s="6">
        <f t="shared" si="20"/>
        <v>0</v>
      </c>
    </row>
    <row r="65" spans="1:26" s="24" customFormat="1" hidden="1" outlineLevel="2" x14ac:dyDescent="0.25">
      <c r="A65" s="27"/>
      <c r="B65" s="11" t="str">
        <f>CONCATENATE("          ", "6118", " - ", "VACATION")</f>
        <v xml:space="preserve">          6118 - VACATION</v>
      </c>
      <c r="C65" s="11"/>
      <c r="D65" s="7">
        <v>7622.27</v>
      </c>
      <c r="E65" s="2"/>
      <c r="F65" s="6">
        <f t="shared" si="13"/>
        <v>1.3227279139377841E-2</v>
      </c>
      <c r="G65" s="2"/>
      <c r="H65" s="7">
        <v>5030.6720235288503</v>
      </c>
      <c r="I65" s="2"/>
      <c r="J65" s="6">
        <f t="shared" si="14"/>
        <v>1.1582416472759286E-2</v>
      </c>
      <c r="K65" s="2"/>
      <c r="L65" s="7">
        <f t="shared" si="15"/>
        <v>2591.5979764711501</v>
      </c>
      <c r="M65" s="2"/>
      <c r="N65" s="6">
        <f t="shared" si="16"/>
        <v>0.51515939905246089</v>
      </c>
      <c r="O65" s="11"/>
      <c r="P65" s="7">
        <v>23247.599999999999</v>
      </c>
      <c r="Q65" s="2"/>
      <c r="R65" s="6">
        <f t="shared" si="17"/>
        <v>7.9703037718520803E-3</v>
      </c>
      <c r="S65" s="2"/>
      <c r="T65" s="7">
        <v>20223.900053934602</v>
      </c>
      <c r="U65" s="2"/>
      <c r="V65" s="6">
        <f t="shared" si="18"/>
        <v>4.6189675638193557E-3</v>
      </c>
      <c r="W65" s="2"/>
      <c r="X65" s="7">
        <f t="shared" si="19"/>
        <v>3023.6999460653969</v>
      </c>
      <c r="Y65" s="2"/>
      <c r="Z65" s="6">
        <f t="shared" si="20"/>
        <v>0.14951121880555032</v>
      </c>
    </row>
    <row r="66" spans="1:26" s="24" customFormat="1" hidden="1" outlineLevel="2" x14ac:dyDescent="0.25">
      <c r="A66" s="27"/>
      <c r="B66" s="11" t="str">
        <f>CONCATENATE("          ", "6119", " - ", "SICK LEAVE")</f>
        <v xml:space="preserve">          6119 - SICK LEAVE</v>
      </c>
      <c r="C66" s="11"/>
      <c r="D66" s="7">
        <v>5499.11</v>
      </c>
      <c r="E66" s="2"/>
      <c r="F66" s="6">
        <f t="shared" si="13"/>
        <v>9.5428609834267309E-3</v>
      </c>
      <c r="G66" s="2"/>
      <c r="H66" s="7">
        <v>7481.7936820576897</v>
      </c>
      <c r="I66" s="2"/>
      <c r="J66" s="6">
        <f t="shared" si="14"/>
        <v>1.722578017082977E-2</v>
      </c>
      <c r="K66" s="2"/>
      <c r="L66" s="7">
        <f t="shared" si="15"/>
        <v>-1982.68368205769</v>
      </c>
      <c r="M66" s="2"/>
      <c r="N66" s="6">
        <f t="shared" si="16"/>
        <v>-0.26500111688623845</v>
      </c>
      <c r="O66" s="11"/>
      <c r="P66" s="7">
        <v>17169.580000000002</v>
      </c>
      <c r="Q66" s="2"/>
      <c r="R66" s="6">
        <f t="shared" si="17"/>
        <v>5.886490142428296E-3</v>
      </c>
      <c r="S66" s="2"/>
      <c r="T66" s="7">
        <v>30523.151140023099</v>
      </c>
      <c r="U66" s="2"/>
      <c r="V66" s="6">
        <f t="shared" si="18"/>
        <v>6.9712293220067344E-3</v>
      </c>
      <c r="W66" s="2"/>
      <c r="X66" s="7">
        <f t="shared" si="19"/>
        <v>-13353.571140023098</v>
      </c>
      <c r="Y66" s="2"/>
      <c r="Z66" s="6">
        <f t="shared" si="20"/>
        <v>-0.43748992621254607</v>
      </c>
    </row>
    <row r="67" spans="1:26" s="24" customFormat="1" hidden="1" outlineLevel="2" x14ac:dyDescent="0.25">
      <c r="A67" s="27"/>
      <c r="B67" s="11" t="str">
        <f>CONCATENATE("          ", "6156", " - ", "EMPLOYEE MEALS")</f>
        <v xml:space="preserve">          6156 - EMPLOYEE MEALS</v>
      </c>
      <c r="C67" s="11"/>
      <c r="D67" s="7">
        <v>4006.1</v>
      </c>
      <c r="E67" s="2"/>
      <c r="F67" s="6">
        <f t="shared" si="13"/>
        <v>6.9519713891349373E-3</v>
      </c>
      <c r="G67" s="2"/>
      <c r="H67" s="7">
        <v>2450</v>
      </c>
      <c r="I67" s="2"/>
      <c r="J67" s="6">
        <f t="shared" si="14"/>
        <v>5.6407812366894832E-3</v>
      </c>
      <c r="K67" s="2"/>
      <c r="L67" s="7">
        <f t="shared" si="15"/>
        <v>1556.1</v>
      </c>
      <c r="M67" s="2"/>
      <c r="N67" s="6">
        <f t="shared" si="16"/>
        <v>0.63514285714285712</v>
      </c>
      <c r="O67" s="11"/>
      <c r="P67" s="7">
        <v>10045.4</v>
      </c>
      <c r="Q67" s="2"/>
      <c r="R67" s="6">
        <f t="shared" si="17"/>
        <v>3.4440066720763814E-3</v>
      </c>
      <c r="S67" s="2"/>
      <c r="T67" s="7">
        <v>9800</v>
      </c>
      <c r="U67" s="2"/>
      <c r="V67" s="6">
        <f t="shared" si="18"/>
        <v>2.2382370366107063E-3</v>
      </c>
      <c r="W67" s="2"/>
      <c r="X67" s="7">
        <f t="shared" si="19"/>
        <v>245.39999999999964</v>
      </c>
      <c r="Y67" s="2"/>
      <c r="Z67" s="6">
        <f t="shared" si="20"/>
        <v>2.5040816326530574E-2</v>
      </c>
    </row>
    <row r="68" spans="1:26" s="28" customFormat="1" outlineLevel="1" collapsed="1" x14ac:dyDescent="0.25">
      <c r="A68" s="29"/>
      <c r="B68" s="14" t="str">
        <f>CONCATENATE("     ","*Payroll                                          ")</f>
        <v xml:space="preserve">     *Payroll                                          </v>
      </c>
      <c r="C68" s="14"/>
      <c r="D68" s="1">
        <f>SUM(OSRRefD22_1x_0)</f>
        <v>178317.63000000003</v>
      </c>
      <c r="E68" s="1"/>
      <c r="F68" s="5">
        <f t="shared" ref="F68:F78" si="21">IF(D$12=0,0,D68/D$12)</f>
        <v>0.30944286511528668</v>
      </c>
      <c r="G68" s="1"/>
      <c r="H68" s="1">
        <f>SUM(OSRRefH22_1x_0)</f>
        <v>191149.04289310583</v>
      </c>
      <c r="I68" s="1"/>
      <c r="J68" s="5">
        <f t="shared" ref="J68:J78" si="22">IF(H$12=0,0,H68/H$12)</f>
        <v>0.44009385084187125</v>
      </c>
      <c r="K68" s="1"/>
      <c r="L68" s="1">
        <f t="shared" ref="L68:L78" si="23">+D68-H68</f>
        <v>-12831.412893105793</v>
      </c>
      <c r="M68" s="1"/>
      <c r="N68" s="5">
        <f t="shared" ref="N68:N78" si="24">IF(H68=0,0,L68/H68)</f>
        <v>-6.7127790434615794E-2</v>
      </c>
      <c r="O68" s="14"/>
      <c r="P68" s="1">
        <f>SUM(OSRRefP22_1x_0)</f>
        <v>697912.21</v>
      </c>
      <c r="Q68" s="1"/>
      <c r="R68" s="5">
        <f t="shared" ref="R68:R78" si="25">IF(P$12=0,0,P68/P$12)</f>
        <v>0.23927512172373153</v>
      </c>
      <c r="S68" s="1"/>
      <c r="T68" s="1">
        <f>SUM(OSRRefT22_1x_0)</f>
        <v>792006.4374536426</v>
      </c>
      <c r="U68" s="1"/>
      <c r="V68" s="5">
        <f t="shared" ref="V68:V78" si="26">IF(T$12=0,0,T68/T$12)</f>
        <v>0.18088756546355547</v>
      </c>
      <c r="W68" s="1"/>
      <c r="X68" s="1">
        <f t="shared" ref="X68:X78" si="27">+P68-T68</f>
        <v>-94094.227453642641</v>
      </c>
      <c r="Y68" s="1"/>
      <c r="Z68" s="5">
        <f t="shared" ref="Z68:Z78" si="28">IF(T68=0,0,X68/T68)</f>
        <v>-0.11880487708681045</v>
      </c>
    </row>
    <row r="69" spans="1:26" s="24" customFormat="1" hidden="1" outlineLevel="2" x14ac:dyDescent="0.25">
      <c r="A69" s="27"/>
      <c r="B69" s="11" t="str">
        <f>CONCATENATE("          ", "6001", " - ", "ADMINISTRATIVE SALARIES")</f>
        <v xml:space="preserve">          6001 - ADMINISTRATIVE SALARIES</v>
      </c>
      <c r="C69" s="11"/>
      <c r="D69" s="7">
        <v>4926.78</v>
      </c>
      <c r="E69" s="2"/>
      <c r="F69" s="6">
        <f t="shared" si="21"/>
        <v>8.5496701531569928E-3</v>
      </c>
      <c r="G69" s="2"/>
      <c r="H69" s="7">
        <v>5174.7596153846198</v>
      </c>
      <c r="I69" s="2"/>
      <c r="J69" s="6">
        <f t="shared" si="22"/>
        <v>1.1914157935853081E-2</v>
      </c>
      <c r="K69" s="2"/>
      <c r="L69" s="7">
        <f t="shared" si="23"/>
        <v>-247.97961538462005</v>
      </c>
      <c r="M69" s="2"/>
      <c r="N69" s="6">
        <f t="shared" si="24"/>
        <v>-4.792099224230123E-2</v>
      </c>
      <c r="O69" s="11"/>
      <c r="P69" s="7">
        <v>19484.080000000002</v>
      </c>
      <c r="Q69" s="2"/>
      <c r="R69" s="6">
        <f t="shared" si="25"/>
        <v>6.6800029385858193E-3</v>
      </c>
      <c r="S69" s="2"/>
      <c r="T69" s="7">
        <v>18629.134615384599</v>
      </c>
      <c r="U69" s="2"/>
      <c r="V69" s="6">
        <f t="shared" si="26"/>
        <v>4.254736638383709E-3</v>
      </c>
      <c r="W69" s="2"/>
      <c r="X69" s="7">
        <f t="shared" si="27"/>
        <v>854.94538461540287</v>
      </c>
      <c r="Y69" s="2"/>
      <c r="Z69" s="6">
        <f t="shared" si="28"/>
        <v>4.5892920002272068E-2</v>
      </c>
    </row>
    <row r="70" spans="1:26" s="24" customFormat="1" hidden="1" outlineLevel="2" x14ac:dyDescent="0.25">
      <c r="A70" s="27"/>
      <c r="B70" s="11" t="str">
        <f>CONCATENATE("          ", "6002", " - ", "STAFF SALARIES")</f>
        <v xml:space="preserve">          6002 - STAFF SALARIES</v>
      </c>
      <c r="C70" s="11"/>
      <c r="D70" s="7">
        <v>62962.98</v>
      </c>
      <c r="E70" s="2"/>
      <c r="F70" s="6">
        <f t="shared" si="21"/>
        <v>0.10926258344391686</v>
      </c>
      <c r="G70" s="2"/>
      <c r="H70" s="7">
        <v>55289.717317721203</v>
      </c>
      <c r="I70" s="2"/>
      <c r="J70" s="6">
        <f t="shared" si="22"/>
        <v>0.12729681633782339</v>
      </c>
      <c r="K70" s="2"/>
      <c r="L70" s="7">
        <f t="shared" si="23"/>
        <v>7673.2626822788006</v>
      </c>
      <c r="M70" s="2"/>
      <c r="N70" s="6">
        <f t="shared" si="24"/>
        <v>0.13878281630894507</v>
      </c>
      <c r="O70" s="11"/>
      <c r="P70" s="7">
        <v>249566.05</v>
      </c>
      <c r="Q70" s="2"/>
      <c r="R70" s="6">
        <f t="shared" si="25"/>
        <v>8.5562261465322212E-2</v>
      </c>
      <c r="S70" s="2"/>
      <c r="T70" s="7">
        <v>217007.568882258</v>
      </c>
      <c r="U70" s="2"/>
      <c r="V70" s="6">
        <f t="shared" si="26"/>
        <v>4.9562691622154986E-2</v>
      </c>
      <c r="W70" s="2"/>
      <c r="X70" s="7">
        <f t="shared" si="27"/>
        <v>32558.481117741991</v>
      </c>
      <c r="Y70" s="2"/>
      <c r="Z70" s="6">
        <f t="shared" si="28"/>
        <v>0.15003385036494868</v>
      </c>
    </row>
    <row r="71" spans="1:26" s="24" customFormat="1" hidden="1" outlineLevel="2" x14ac:dyDescent="0.25">
      <c r="A71" s="27"/>
      <c r="B71" s="11" t="str">
        <f>CONCATENATE("          ", "6003", " - ", "STAFF HOURLY-9 MONTH")</f>
        <v xml:space="preserve">          6003 - STAFF HOURLY-9 MONTH</v>
      </c>
      <c r="C71" s="11"/>
      <c r="D71" s="7"/>
      <c r="E71" s="2"/>
      <c r="F71" s="6">
        <f t="shared" si="21"/>
        <v>0</v>
      </c>
      <c r="G71" s="2"/>
      <c r="H71" s="7">
        <v>0</v>
      </c>
      <c r="I71" s="2"/>
      <c r="J71" s="6">
        <f t="shared" si="22"/>
        <v>0</v>
      </c>
      <c r="K71" s="2"/>
      <c r="L71" s="7">
        <f t="shared" si="23"/>
        <v>0</v>
      </c>
      <c r="M71" s="2"/>
      <c r="N71" s="6">
        <f t="shared" si="24"/>
        <v>0</v>
      </c>
      <c r="O71" s="11"/>
      <c r="P71" s="7"/>
      <c r="Q71" s="2"/>
      <c r="R71" s="6">
        <f t="shared" si="25"/>
        <v>0</v>
      </c>
      <c r="S71" s="2"/>
      <c r="T71" s="7">
        <v>0</v>
      </c>
      <c r="U71" s="2"/>
      <c r="V71" s="6">
        <f t="shared" si="26"/>
        <v>0</v>
      </c>
      <c r="W71" s="2"/>
      <c r="X71" s="7">
        <f t="shared" si="27"/>
        <v>0</v>
      </c>
      <c r="Y71" s="2"/>
      <c r="Z71" s="6">
        <f t="shared" si="28"/>
        <v>0</v>
      </c>
    </row>
    <row r="72" spans="1:26" s="24" customFormat="1" hidden="1" outlineLevel="2" x14ac:dyDescent="0.25">
      <c r="A72" s="27"/>
      <c r="B72" s="11" t="str">
        <f>CONCATENATE("          ", "6004", " - ", "STAFF HOURLY")</f>
        <v xml:space="preserve">          6004 - STAFF HOURLY</v>
      </c>
      <c r="C72" s="11"/>
      <c r="D72" s="7">
        <v>30372.86</v>
      </c>
      <c r="E72" s="2"/>
      <c r="F72" s="6">
        <f t="shared" si="21"/>
        <v>5.2707434593794712E-2</v>
      </c>
      <c r="G72" s="2"/>
      <c r="H72" s="7">
        <v>46245.293460000001</v>
      </c>
      <c r="I72" s="2"/>
      <c r="J72" s="6">
        <f t="shared" si="22"/>
        <v>0.10647329944259872</v>
      </c>
      <c r="K72" s="2"/>
      <c r="L72" s="7">
        <f t="shared" si="23"/>
        <v>-15872.43346</v>
      </c>
      <c r="M72" s="2"/>
      <c r="N72" s="6">
        <f t="shared" si="24"/>
        <v>-0.34322267786513039</v>
      </c>
      <c r="O72" s="11"/>
      <c r="P72" s="7">
        <v>89984.75</v>
      </c>
      <c r="Q72" s="2"/>
      <c r="R72" s="6">
        <f t="shared" si="25"/>
        <v>3.0850745553698725E-2</v>
      </c>
      <c r="S72" s="2"/>
      <c r="T72" s="7">
        <v>162572.01645600001</v>
      </c>
      <c r="U72" s="2"/>
      <c r="V72" s="6">
        <f t="shared" si="26"/>
        <v>3.7130072280439227E-2</v>
      </c>
      <c r="W72" s="2"/>
      <c r="X72" s="7">
        <f t="shared" si="27"/>
        <v>-72587.266456000012</v>
      </c>
      <c r="Y72" s="2"/>
      <c r="Z72" s="6">
        <f t="shared" si="28"/>
        <v>-0.44649299454094976</v>
      </c>
    </row>
    <row r="73" spans="1:26" s="24" customFormat="1" hidden="1" outlineLevel="2" x14ac:dyDescent="0.25">
      <c r="A73" s="27"/>
      <c r="B73" s="11" t="str">
        <f>CONCATENATE("          ", "6005", " - ", "TEMPORARY WAGES-HOURLY")</f>
        <v xml:space="preserve">          6005 - TEMPORARY WAGES-HOURLY</v>
      </c>
      <c r="C73" s="11"/>
      <c r="D73" s="7">
        <v>16091.96</v>
      </c>
      <c r="E73" s="2"/>
      <c r="F73" s="6">
        <f t="shared" si="21"/>
        <v>2.7925125562293464E-2</v>
      </c>
      <c r="G73" s="2"/>
      <c r="H73" s="7">
        <v>3445</v>
      </c>
      <c r="I73" s="2"/>
      <c r="J73" s="6">
        <f t="shared" si="22"/>
        <v>7.9316291266919459E-3</v>
      </c>
      <c r="K73" s="2"/>
      <c r="L73" s="7">
        <f t="shared" si="23"/>
        <v>12646.96</v>
      </c>
      <c r="M73" s="2"/>
      <c r="N73" s="6">
        <f t="shared" si="24"/>
        <v>3.6711059506531201</v>
      </c>
      <c r="O73" s="11"/>
      <c r="P73" s="7">
        <v>47337.57</v>
      </c>
      <c r="Q73" s="2"/>
      <c r="R73" s="6">
        <f t="shared" si="25"/>
        <v>1.6229409174336788E-2</v>
      </c>
      <c r="S73" s="2"/>
      <c r="T73" s="7">
        <v>15091</v>
      </c>
      <c r="U73" s="2"/>
      <c r="V73" s="6">
        <f t="shared" si="26"/>
        <v>3.4466566448461394E-3</v>
      </c>
      <c r="W73" s="2"/>
      <c r="X73" s="7">
        <f t="shared" si="27"/>
        <v>32246.57</v>
      </c>
      <c r="Y73" s="2"/>
      <c r="Z73" s="6">
        <f t="shared" si="28"/>
        <v>2.13680803127692</v>
      </c>
    </row>
    <row r="74" spans="1:26" s="24" customFormat="1" hidden="1" outlineLevel="2" x14ac:dyDescent="0.25">
      <c r="A74" s="27"/>
      <c r="B74" s="11" t="str">
        <f>CONCATENATE("          ", "6006", " - ", "TEMPORARY PART TIME")</f>
        <v xml:space="preserve">          6006 - TEMPORARY PART TIME</v>
      </c>
      <c r="C74" s="11"/>
      <c r="D74" s="7">
        <v>781.97</v>
      </c>
      <c r="E74" s="2"/>
      <c r="F74" s="6">
        <f t="shared" si="21"/>
        <v>1.3569888587808211E-3</v>
      </c>
      <c r="G74" s="2"/>
      <c r="H74" s="7">
        <v>0</v>
      </c>
      <c r="I74" s="2"/>
      <c r="J74" s="6">
        <f t="shared" si="22"/>
        <v>0</v>
      </c>
      <c r="K74" s="2"/>
      <c r="L74" s="7">
        <f t="shared" si="23"/>
        <v>781.97</v>
      </c>
      <c r="M74" s="2"/>
      <c r="N74" s="6">
        <f t="shared" si="24"/>
        <v>0</v>
      </c>
      <c r="O74" s="11"/>
      <c r="P74" s="7">
        <v>9877.6200000000008</v>
      </c>
      <c r="Q74" s="2"/>
      <c r="R74" s="6">
        <f t="shared" si="25"/>
        <v>3.3864842797932497E-3</v>
      </c>
      <c r="S74" s="2"/>
      <c r="T74" s="7">
        <v>0</v>
      </c>
      <c r="U74" s="2"/>
      <c r="V74" s="6">
        <f t="shared" si="26"/>
        <v>0</v>
      </c>
      <c r="W74" s="2"/>
      <c r="X74" s="7">
        <f t="shared" si="27"/>
        <v>9877.6200000000008</v>
      </c>
      <c r="Y74" s="2"/>
      <c r="Z74" s="6">
        <f t="shared" si="28"/>
        <v>0</v>
      </c>
    </row>
    <row r="75" spans="1:26" s="24" customFormat="1" hidden="1" outlineLevel="2" x14ac:dyDescent="0.25">
      <c r="A75" s="27"/>
      <c r="B75" s="11" t="str">
        <f>CONCATENATE("          ", "6007", " - ", "STUDENT HOURLY")</f>
        <v xml:space="preserve">          6007 - STUDENT HOURLY</v>
      </c>
      <c r="C75" s="11"/>
      <c r="D75" s="7">
        <v>53267.23</v>
      </c>
      <c r="E75" s="2"/>
      <c r="F75" s="6">
        <f t="shared" si="21"/>
        <v>9.2437098159923681E-2</v>
      </c>
      <c r="G75" s="2"/>
      <c r="H75" s="7">
        <v>35509.4</v>
      </c>
      <c r="I75" s="2"/>
      <c r="J75" s="6">
        <f t="shared" si="22"/>
        <v>8.1755411120857768E-2</v>
      </c>
      <c r="K75" s="2"/>
      <c r="L75" s="7">
        <f t="shared" si="23"/>
        <v>17757.830000000002</v>
      </c>
      <c r="M75" s="2"/>
      <c r="N75" s="6">
        <f t="shared" si="24"/>
        <v>0.5000881456741032</v>
      </c>
      <c r="O75" s="11"/>
      <c r="P75" s="7">
        <v>238018.4</v>
      </c>
      <c r="Q75" s="2"/>
      <c r="R75" s="6">
        <f t="shared" si="25"/>
        <v>8.1603217161780012E-2</v>
      </c>
      <c r="S75" s="2"/>
      <c r="T75" s="7">
        <v>158583.28</v>
      </c>
      <c r="U75" s="2"/>
      <c r="V75" s="6">
        <f t="shared" si="26"/>
        <v>3.6219078641143453E-2</v>
      </c>
      <c r="W75" s="2"/>
      <c r="X75" s="7">
        <f t="shared" si="27"/>
        <v>79435.12</v>
      </c>
      <c r="Y75" s="2"/>
      <c r="Z75" s="6">
        <f t="shared" si="28"/>
        <v>0.50090476120811722</v>
      </c>
    </row>
    <row r="76" spans="1:26" s="24" customFormat="1" hidden="1" outlineLevel="2" x14ac:dyDescent="0.25">
      <c r="A76" s="27"/>
      <c r="B76" s="11" t="str">
        <f>CONCATENATE("          ", "6008", " - ", "STUDENT HOURLY-FICA EXEMPT")</f>
        <v xml:space="preserve">          6008 - STUDENT HOURLY-FICA EXEMPT</v>
      </c>
      <c r="C76" s="11"/>
      <c r="D76" s="7">
        <v>9913.85</v>
      </c>
      <c r="E76" s="2"/>
      <c r="F76" s="6">
        <f t="shared" si="21"/>
        <v>1.7203964343420135E-2</v>
      </c>
      <c r="G76" s="2"/>
      <c r="H76" s="7">
        <v>45484.872499999998</v>
      </c>
      <c r="I76" s="2"/>
      <c r="J76" s="6">
        <f t="shared" si="22"/>
        <v>0.10472253687804631</v>
      </c>
      <c r="K76" s="2"/>
      <c r="L76" s="7">
        <f t="shared" si="23"/>
        <v>-35571.022499999999</v>
      </c>
      <c r="M76" s="2"/>
      <c r="N76" s="6">
        <f t="shared" si="24"/>
        <v>-0.78204072134092495</v>
      </c>
      <c r="O76" s="11"/>
      <c r="P76" s="7">
        <v>43643.74</v>
      </c>
      <c r="Q76" s="2"/>
      <c r="R76" s="6">
        <f t="shared" si="25"/>
        <v>1.4963001150214711E-2</v>
      </c>
      <c r="S76" s="2"/>
      <c r="T76" s="7">
        <v>220123.4375</v>
      </c>
      <c r="U76" s="2"/>
      <c r="V76" s="6">
        <f t="shared" si="26"/>
        <v>5.0274329636587956E-2</v>
      </c>
      <c r="W76" s="2"/>
      <c r="X76" s="7">
        <f t="shared" si="27"/>
        <v>-176479.69750000001</v>
      </c>
      <c r="Y76" s="2"/>
      <c r="Z76" s="6">
        <f t="shared" si="28"/>
        <v>-0.80173060853640365</v>
      </c>
    </row>
    <row r="77" spans="1:26" s="24" customFormat="1" hidden="1" outlineLevel="2" x14ac:dyDescent="0.25">
      <c r="A77" s="27"/>
      <c r="B77" s="11" t="str">
        <f>CONCATENATE("          ", "6009", " - ", "TEMPORARY-SEASONAL")</f>
        <v xml:space="preserve">          6009 - TEMPORARY-SEASONAL</v>
      </c>
      <c r="C77" s="11"/>
      <c r="D77" s="7"/>
      <c r="E77" s="2"/>
      <c r="F77" s="6">
        <f t="shared" si="21"/>
        <v>0</v>
      </c>
      <c r="G77" s="2"/>
      <c r="H77" s="7">
        <v>0</v>
      </c>
      <c r="I77" s="2"/>
      <c r="J77" s="6">
        <f t="shared" si="22"/>
        <v>0</v>
      </c>
      <c r="K77" s="2"/>
      <c r="L77" s="7">
        <f t="shared" si="23"/>
        <v>0</v>
      </c>
      <c r="M77" s="2"/>
      <c r="N77" s="6">
        <f t="shared" si="24"/>
        <v>0</v>
      </c>
      <c r="O77" s="11"/>
      <c r="P77" s="7"/>
      <c r="Q77" s="2"/>
      <c r="R77" s="6">
        <f t="shared" si="25"/>
        <v>0</v>
      </c>
      <c r="S77" s="2"/>
      <c r="T77" s="7">
        <v>0</v>
      </c>
      <c r="U77" s="2"/>
      <c r="V77" s="6">
        <f t="shared" si="26"/>
        <v>0</v>
      </c>
      <c r="W77" s="2"/>
      <c r="X77" s="7">
        <f t="shared" si="27"/>
        <v>0</v>
      </c>
      <c r="Y77" s="2"/>
      <c r="Z77" s="6">
        <f t="shared" si="28"/>
        <v>0</v>
      </c>
    </row>
    <row r="78" spans="1:26" s="24" customFormat="1" hidden="1" outlineLevel="2" x14ac:dyDescent="0.25">
      <c r="A78" s="27"/>
      <c r="B78" s="11" t="str">
        <f>CONCATENATE("          ", "6010", " - ", "GRATUITY")</f>
        <v xml:space="preserve">          6010 - GRATUITY</v>
      </c>
      <c r="C78" s="11"/>
      <c r="D78" s="7"/>
      <c r="E78" s="2"/>
      <c r="F78" s="6">
        <f t="shared" si="21"/>
        <v>0</v>
      </c>
      <c r="G78" s="2"/>
      <c r="H78" s="7">
        <v>0</v>
      </c>
      <c r="I78" s="2"/>
      <c r="J78" s="6">
        <f t="shared" si="22"/>
        <v>0</v>
      </c>
      <c r="K78" s="2"/>
      <c r="L78" s="7">
        <f t="shared" si="23"/>
        <v>0</v>
      </c>
      <c r="M78" s="2"/>
      <c r="N78" s="6">
        <f t="shared" si="24"/>
        <v>0</v>
      </c>
      <c r="O78" s="11"/>
      <c r="P78" s="7"/>
      <c r="Q78" s="2"/>
      <c r="R78" s="6">
        <f t="shared" si="25"/>
        <v>0</v>
      </c>
      <c r="S78" s="2"/>
      <c r="T78" s="7">
        <v>0</v>
      </c>
      <c r="U78" s="2"/>
      <c r="V78" s="6">
        <f t="shared" si="26"/>
        <v>0</v>
      </c>
      <c r="W78" s="2"/>
      <c r="X78" s="7">
        <f t="shared" si="27"/>
        <v>0</v>
      </c>
      <c r="Y78" s="2"/>
      <c r="Z78" s="6">
        <f t="shared" si="28"/>
        <v>0</v>
      </c>
    </row>
    <row r="79" spans="1:26" s="28" customFormat="1" outlineLevel="1" collapsed="1" x14ac:dyDescent="0.25">
      <c r="A79" s="29"/>
      <c r="B79" s="14" t="str">
        <f>CONCATENATE("     ","Advertising/Promo                                 ")</f>
        <v xml:space="preserve">     Advertising/Promo                                 </v>
      </c>
      <c r="C79" s="14"/>
      <c r="D79" s="1">
        <f>SUM(OSRRefD22_2x_0)</f>
        <v>950.63</v>
      </c>
      <c r="E79" s="1"/>
      <c r="F79" s="5">
        <f t="shared" ref="F79:F87" si="29">IF(D$12=0,0,D79/D$12)</f>
        <v>1.6496723900185581E-3</v>
      </c>
      <c r="G79" s="1"/>
      <c r="H79" s="1">
        <f>SUM(OSRRefH22_2x_0)</f>
        <v>300</v>
      </c>
      <c r="I79" s="1"/>
      <c r="J79" s="5">
        <f t="shared" ref="J79:J87" si="30">IF(H$12=0,0,H79/H$12)</f>
        <v>6.9070790653340611E-4</v>
      </c>
      <c r="K79" s="1"/>
      <c r="L79" s="1">
        <f t="shared" ref="L79:L87" si="31">+D79-H79</f>
        <v>650.63</v>
      </c>
      <c r="M79" s="1"/>
      <c r="N79" s="5">
        <f t="shared" ref="N79:N87" si="32">IF(H79=0,0,L79/H79)</f>
        <v>2.1687666666666665</v>
      </c>
      <c r="O79" s="14"/>
      <c r="P79" s="1">
        <f>SUM(OSRRefP22_2x_0)</f>
        <v>3237.95</v>
      </c>
      <c r="Q79" s="1"/>
      <c r="R79" s="5">
        <f t="shared" ref="R79:R87" si="33">IF(P$12=0,0,P79/P$12)</f>
        <v>1.1101122308568817E-3</v>
      </c>
      <c r="S79" s="1"/>
      <c r="T79" s="1">
        <f>SUM(OSRRefT22_2x_0)</f>
        <v>4200</v>
      </c>
      <c r="U79" s="1"/>
      <c r="V79" s="5">
        <f t="shared" ref="V79:V87" si="34">IF(T$12=0,0,T79/T$12)</f>
        <v>9.5924444426173118E-4</v>
      </c>
      <c r="W79" s="1"/>
      <c r="X79" s="1">
        <f t="shared" ref="X79:X87" si="35">+P79-T79</f>
        <v>-962.05000000000018</v>
      </c>
      <c r="Y79" s="1"/>
      <c r="Z79" s="5">
        <f t="shared" ref="Z79:Z87" si="36">IF(T79=0,0,X79/T79)</f>
        <v>-0.22905952380952385</v>
      </c>
    </row>
    <row r="80" spans="1:26" s="24" customFormat="1" hidden="1" outlineLevel="2" x14ac:dyDescent="0.25">
      <c r="A80" s="27"/>
      <c r="B80" s="11" t="str">
        <f>CONCATENATE("          ", "6362", " - ", "ADVERTISING EXPENSE")</f>
        <v xml:space="preserve">          6362 - ADVERTISING EXPENSE</v>
      </c>
      <c r="C80" s="11"/>
      <c r="D80" s="7">
        <v>950.63</v>
      </c>
      <c r="E80" s="2"/>
      <c r="F80" s="6">
        <f t="shared" si="29"/>
        <v>1.6496723900185581E-3</v>
      </c>
      <c r="G80" s="2"/>
      <c r="H80" s="7">
        <v>300</v>
      </c>
      <c r="I80" s="2"/>
      <c r="J80" s="6">
        <f t="shared" si="30"/>
        <v>6.9070790653340611E-4</v>
      </c>
      <c r="K80" s="2"/>
      <c r="L80" s="7">
        <f t="shared" si="31"/>
        <v>650.63</v>
      </c>
      <c r="M80" s="2"/>
      <c r="N80" s="6">
        <f t="shared" si="32"/>
        <v>2.1687666666666665</v>
      </c>
      <c r="O80" s="11"/>
      <c r="P80" s="7">
        <v>3237.95</v>
      </c>
      <c r="Q80" s="2"/>
      <c r="R80" s="6">
        <f t="shared" si="33"/>
        <v>1.1101122308568817E-3</v>
      </c>
      <c r="S80" s="2"/>
      <c r="T80" s="7">
        <v>4200</v>
      </c>
      <c r="U80" s="2"/>
      <c r="V80" s="6">
        <f t="shared" si="34"/>
        <v>9.5924444426173118E-4</v>
      </c>
      <c r="W80" s="2"/>
      <c r="X80" s="7">
        <f t="shared" si="35"/>
        <v>-962.05000000000018</v>
      </c>
      <c r="Y80" s="2"/>
      <c r="Z80" s="6">
        <f t="shared" si="36"/>
        <v>-0.22905952380952385</v>
      </c>
    </row>
    <row r="81" spans="1:26" s="28" customFormat="1" outlineLevel="1" collapsed="1" x14ac:dyDescent="0.25">
      <c r="A81" s="29"/>
      <c r="B81" s="14" t="str">
        <f>CONCATENATE("     ","Bad Debts/Over/Short                              ")</f>
        <v xml:space="preserve">     Bad Debts/Over/Short                              </v>
      </c>
      <c r="C81" s="14"/>
      <c r="D81" s="1">
        <f>SUM(OSRRefD22_3x_0)</f>
        <v>-37.729999999999997</v>
      </c>
      <c r="E81" s="1"/>
      <c r="F81" s="5">
        <f t="shared" si="29"/>
        <v>-6.5474621330486305E-5</v>
      </c>
      <c r="G81" s="1"/>
      <c r="H81" s="1">
        <f>SUM(OSRRefH22_3x_0)</f>
        <v>235</v>
      </c>
      <c r="I81" s="1"/>
      <c r="J81" s="5">
        <f t="shared" si="30"/>
        <v>5.4105452678450145E-4</v>
      </c>
      <c r="K81" s="1"/>
      <c r="L81" s="1">
        <f t="shared" si="31"/>
        <v>-272.73</v>
      </c>
      <c r="M81" s="1"/>
      <c r="N81" s="5">
        <f t="shared" si="32"/>
        <v>-1.1605531914893619</v>
      </c>
      <c r="O81" s="14"/>
      <c r="P81" s="1">
        <f>SUM(OSRRefP22_3x_0)</f>
        <v>225.67</v>
      </c>
      <c r="Q81" s="1"/>
      <c r="R81" s="5">
        <f t="shared" si="33"/>
        <v>7.7369640401325676E-5</v>
      </c>
      <c r="S81" s="1"/>
      <c r="T81" s="1">
        <f>SUM(OSRRefT22_3x_0)</f>
        <v>940</v>
      </c>
      <c r="U81" s="1"/>
      <c r="V81" s="5">
        <f t="shared" si="34"/>
        <v>2.1468804228714936E-4</v>
      </c>
      <c r="W81" s="1"/>
      <c r="X81" s="1">
        <f t="shared" si="35"/>
        <v>-714.33</v>
      </c>
      <c r="Y81" s="1"/>
      <c r="Z81" s="5">
        <f t="shared" si="36"/>
        <v>-0.75992553191489365</v>
      </c>
    </row>
    <row r="82" spans="1:26" s="24" customFormat="1" hidden="1" outlineLevel="2" x14ac:dyDescent="0.25">
      <c r="A82" s="27"/>
      <c r="B82" s="11" t="str">
        <f>CONCATENATE("          ", "6272", " - ", "CASH (OVER/SHORT)")</f>
        <v xml:space="preserve">          6272 - CASH (OVER/SHORT)</v>
      </c>
      <c r="C82" s="11"/>
      <c r="D82" s="7">
        <v>-37.729999999999997</v>
      </c>
      <c r="E82" s="2"/>
      <c r="F82" s="6">
        <f t="shared" si="29"/>
        <v>-6.5474621330486305E-5</v>
      </c>
      <c r="G82" s="2"/>
      <c r="H82" s="7">
        <v>235</v>
      </c>
      <c r="I82" s="2"/>
      <c r="J82" s="6">
        <f t="shared" si="30"/>
        <v>5.4105452678450145E-4</v>
      </c>
      <c r="K82" s="2"/>
      <c r="L82" s="7">
        <f t="shared" si="31"/>
        <v>-272.73</v>
      </c>
      <c r="M82" s="2"/>
      <c r="N82" s="6">
        <f t="shared" si="32"/>
        <v>-1.1605531914893619</v>
      </c>
      <c r="O82" s="11"/>
      <c r="P82" s="7">
        <v>225.67</v>
      </c>
      <c r="Q82" s="2"/>
      <c r="R82" s="6">
        <f t="shared" si="33"/>
        <v>7.7369640401325676E-5</v>
      </c>
      <c r="S82" s="2"/>
      <c r="T82" s="7">
        <v>940</v>
      </c>
      <c r="U82" s="2"/>
      <c r="V82" s="6">
        <f t="shared" si="34"/>
        <v>2.1468804228714936E-4</v>
      </c>
      <c r="W82" s="2"/>
      <c r="X82" s="7">
        <f t="shared" si="35"/>
        <v>-714.33</v>
      </c>
      <c r="Y82" s="2"/>
      <c r="Z82" s="6">
        <f t="shared" si="36"/>
        <v>-0.75992553191489365</v>
      </c>
    </row>
    <row r="83" spans="1:26" s="28" customFormat="1" outlineLevel="1" collapsed="1" x14ac:dyDescent="0.25">
      <c r="A83" s="29"/>
      <c r="B83" s="14" t="str">
        <f>CONCATENATE("     ","Bank/card Fees                                    ")</f>
        <v xml:space="preserve">     Bank/card Fees                                    </v>
      </c>
      <c r="C83" s="14"/>
      <c r="D83" s="1">
        <f>SUM(OSRRefD22_4x_0)</f>
        <v>13855.03</v>
      </c>
      <c r="E83" s="1"/>
      <c r="F83" s="5">
        <f t="shared" si="29"/>
        <v>2.4043277041413406E-2</v>
      </c>
      <c r="G83" s="1"/>
      <c r="H83" s="1">
        <f>SUM(OSRRefH22_4x_0)</f>
        <v>11235.5</v>
      </c>
      <c r="I83" s="1"/>
      <c r="J83" s="5">
        <f t="shared" si="30"/>
        <v>2.5868162279520282E-2</v>
      </c>
      <c r="K83" s="1"/>
      <c r="L83" s="1">
        <f t="shared" si="31"/>
        <v>2619.5300000000007</v>
      </c>
      <c r="M83" s="1"/>
      <c r="N83" s="5">
        <f t="shared" si="32"/>
        <v>0.23314761247830543</v>
      </c>
      <c r="O83" s="14"/>
      <c r="P83" s="1">
        <f>SUM(OSRRefP22_4x_0)</f>
        <v>52980.68</v>
      </c>
      <c r="Q83" s="1"/>
      <c r="R83" s="5">
        <f t="shared" si="33"/>
        <v>1.8164116452420383E-2</v>
      </c>
      <c r="S83" s="1"/>
      <c r="T83" s="1">
        <f>SUM(OSRRefT22_4x_0)</f>
        <v>89957.25</v>
      </c>
      <c r="U83" s="1"/>
      <c r="V83" s="5">
        <f t="shared" si="34"/>
        <v>2.0545474353229433E-2</v>
      </c>
      <c r="W83" s="1"/>
      <c r="X83" s="1">
        <f t="shared" si="35"/>
        <v>-36976.57</v>
      </c>
      <c r="Y83" s="1"/>
      <c r="Z83" s="5">
        <f t="shared" si="36"/>
        <v>-0.41104602463948153</v>
      </c>
    </row>
    <row r="84" spans="1:26" s="24" customFormat="1" hidden="1" outlineLevel="2" x14ac:dyDescent="0.25">
      <c r="A84" s="27"/>
      <c r="B84" s="11" t="str">
        <f>CONCATENATE("          ", "6381", " - ", "BANK/CREDIT CARD FEES")</f>
        <v xml:space="preserve">          6381 - BANK/CREDIT CARD FEES</v>
      </c>
      <c r="C84" s="11"/>
      <c r="D84" s="7">
        <v>13855.03</v>
      </c>
      <c r="E84" s="2"/>
      <c r="F84" s="6">
        <f t="shared" si="29"/>
        <v>2.4043277041413406E-2</v>
      </c>
      <c r="G84" s="2"/>
      <c r="H84" s="7">
        <v>11235.5</v>
      </c>
      <c r="I84" s="2"/>
      <c r="J84" s="6">
        <f t="shared" si="30"/>
        <v>2.5868162279520282E-2</v>
      </c>
      <c r="K84" s="2"/>
      <c r="L84" s="7">
        <f t="shared" si="31"/>
        <v>2619.5300000000007</v>
      </c>
      <c r="M84" s="2"/>
      <c r="N84" s="6">
        <f t="shared" si="32"/>
        <v>0.23314761247830543</v>
      </c>
      <c r="O84" s="11"/>
      <c r="P84" s="7">
        <v>52980.68</v>
      </c>
      <c r="Q84" s="2"/>
      <c r="R84" s="6">
        <f t="shared" si="33"/>
        <v>1.8164116452420383E-2</v>
      </c>
      <c r="S84" s="2"/>
      <c r="T84" s="7">
        <v>89957.25</v>
      </c>
      <c r="U84" s="2"/>
      <c r="V84" s="6">
        <f t="shared" si="34"/>
        <v>2.0545474353229433E-2</v>
      </c>
      <c r="W84" s="2"/>
      <c r="X84" s="7">
        <f t="shared" si="35"/>
        <v>-36976.57</v>
      </c>
      <c r="Y84" s="2"/>
      <c r="Z84" s="6">
        <f t="shared" si="36"/>
        <v>-0.41104602463948153</v>
      </c>
    </row>
    <row r="85" spans="1:26" s="28" customFormat="1" outlineLevel="1" collapsed="1" x14ac:dyDescent="0.25">
      <c r="A85" s="29"/>
      <c r="B85" s="14" t="str">
        <f>CONCATENATE("     ","Depreciation                                      ")</f>
        <v xml:space="preserve">     Depreciation                                      </v>
      </c>
      <c r="C85" s="14"/>
      <c r="D85" s="1">
        <f>SUM(OSRRefD22_5x_0)</f>
        <v>36939.61</v>
      </c>
      <c r="E85" s="1"/>
      <c r="F85" s="5">
        <f t="shared" si="29"/>
        <v>6.4103020854647377E-2</v>
      </c>
      <c r="G85" s="1"/>
      <c r="H85" s="1">
        <f>SUM(OSRRefH22_5x_0)</f>
        <v>36818</v>
      </c>
      <c r="I85" s="1"/>
      <c r="J85" s="5">
        <f t="shared" si="30"/>
        <v>8.4768279009156483E-2</v>
      </c>
      <c r="K85" s="1"/>
      <c r="L85" s="1">
        <f t="shared" si="31"/>
        <v>121.61000000000058</v>
      </c>
      <c r="M85" s="1"/>
      <c r="N85" s="5">
        <f t="shared" si="32"/>
        <v>3.303003965451697E-3</v>
      </c>
      <c r="O85" s="14"/>
      <c r="P85" s="1">
        <f>SUM(OSRRefP22_5x_0)</f>
        <v>150508.26</v>
      </c>
      <c r="Q85" s="1"/>
      <c r="R85" s="5">
        <f t="shared" si="33"/>
        <v>5.1600877181855062E-2</v>
      </c>
      <c r="S85" s="1"/>
      <c r="T85" s="1">
        <f>SUM(OSRRefT22_5x_0)</f>
        <v>150019</v>
      </c>
      <c r="U85" s="1"/>
      <c r="V85" s="5">
        <f t="shared" si="34"/>
        <v>3.4263069591357297E-2</v>
      </c>
      <c r="W85" s="1"/>
      <c r="X85" s="1">
        <f t="shared" si="35"/>
        <v>489.26000000000931</v>
      </c>
      <c r="Y85" s="1"/>
      <c r="Z85" s="5">
        <f t="shared" si="36"/>
        <v>3.2613202327705778E-3</v>
      </c>
    </row>
    <row r="86" spans="1:26" s="24" customFormat="1" hidden="1" outlineLevel="2" x14ac:dyDescent="0.25">
      <c r="A86" s="27"/>
      <c r="B86" s="11" t="str">
        <f>CONCATENATE("          ", "6321", " - ", "BUILDING DEPRECIATION")</f>
        <v xml:space="preserve">          6321 - BUILDING DEPRECIATION</v>
      </c>
      <c r="C86" s="11"/>
      <c r="D86" s="7">
        <v>21477.03</v>
      </c>
      <c r="E86" s="2"/>
      <c r="F86" s="6">
        <f t="shared" si="29"/>
        <v>3.727008763725137E-2</v>
      </c>
      <c r="G86" s="2"/>
      <c r="H86" s="7"/>
      <c r="I86" s="2"/>
      <c r="J86" s="6">
        <f t="shared" si="30"/>
        <v>0</v>
      </c>
      <c r="K86" s="2"/>
      <c r="L86" s="7">
        <f t="shared" si="31"/>
        <v>21477.03</v>
      </c>
      <c r="M86" s="2"/>
      <c r="N86" s="6">
        <f t="shared" si="32"/>
        <v>0</v>
      </c>
      <c r="O86" s="11"/>
      <c r="P86" s="7">
        <v>85908.12</v>
      </c>
      <c r="Q86" s="2"/>
      <c r="R86" s="6">
        <f t="shared" si="33"/>
        <v>2.9453096787140226E-2</v>
      </c>
      <c r="S86" s="2"/>
      <c r="T86" s="7"/>
      <c r="U86" s="2"/>
      <c r="V86" s="6">
        <f t="shared" si="34"/>
        <v>0</v>
      </c>
      <c r="W86" s="2"/>
      <c r="X86" s="7">
        <f t="shared" si="35"/>
        <v>85908.12</v>
      </c>
      <c r="Y86" s="2"/>
      <c r="Z86" s="6">
        <f t="shared" si="36"/>
        <v>0</v>
      </c>
    </row>
    <row r="87" spans="1:26" s="24" customFormat="1" hidden="1" outlineLevel="2" x14ac:dyDescent="0.25">
      <c r="A87" s="27"/>
      <c r="B87" s="11" t="str">
        <f>CONCATENATE("          ", "6322", " - ", "EQUIPMENT DEPRECIATION EXPENSE")</f>
        <v xml:space="preserve">          6322 - EQUIPMENT DEPRECIATION EXPENSE</v>
      </c>
      <c r="C87" s="11"/>
      <c r="D87" s="7">
        <v>15462.58</v>
      </c>
      <c r="E87" s="2"/>
      <c r="F87" s="6">
        <f t="shared" si="29"/>
        <v>2.6832933217395997E-2</v>
      </c>
      <c r="G87" s="2"/>
      <c r="H87" s="7">
        <v>36818</v>
      </c>
      <c r="I87" s="2"/>
      <c r="J87" s="6">
        <f t="shared" si="30"/>
        <v>8.4768279009156483E-2</v>
      </c>
      <c r="K87" s="2"/>
      <c r="L87" s="7">
        <f t="shared" si="31"/>
        <v>-21355.42</v>
      </c>
      <c r="M87" s="2"/>
      <c r="N87" s="6">
        <f t="shared" si="32"/>
        <v>-0.58002661741539463</v>
      </c>
      <c r="O87" s="11"/>
      <c r="P87" s="7">
        <v>64600.14</v>
      </c>
      <c r="Q87" s="2"/>
      <c r="R87" s="6">
        <f t="shared" si="33"/>
        <v>2.2147780394714829E-2</v>
      </c>
      <c r="S87" s="2"/>
      <c r="T87" s="7">
        <v>150019</v>
      </c>
      <c r="U87" s="2"/>
      <c r="V87" s="6">
        <f t="shared" si="34"/>
        <v>3.4263069591357297E-2</v>
      </c>
      <c r="W87" s="2"/>
      <c r="X87" s="7">
        <f t="shared" si="35"/>
        <v>-85418.86</v>
      </c>
      <c r="Y87" s="2"/>
      <c r="Z87" s="6">
        <f t="shared" si="36"/>
        <v>-0.56938694432038606</v>
      </c>
    </row>
    <row r="88" spans="1:26" s="28" customFormat="1" outlineLevel="1" collapsed="1" x14ac:dyDescent="0.25">
      <c r="A88" s="29"/>
      <c r="B88" s="14" t="str">
        <f>CONCATENATE("     ","Discounts and Markdowns                           ")</f>
        <v xml:space="preserve">     Discounts and Markdowns                           </v>
      </c>
      <c r="C88" s="14"/>
      <c r="D88" s="1">
        <f>SUM(OSRRefD22_6x_0)</f>
        <v>-43.75</v>
      </c>
      <c r="E88" s="1"/>
      <c r="F88" s="5">
        <f t="shared" ref="F88:F90" si="37">IF(D$12=0,0,D88/D$12)</f>
        <v>-7.5921406923105638E-5</v>
      </c>
      <c r="G88" s="1"/>
      <c r="H88" s="1">
        <f>SUM(OSRRefH22_6x_0)</f>
        <v>0</v>
      </c>
      <c r="I88" s="1"/>
      <c r="J88" s="5">
        <f t="shared" ref="J88:J90" si="38">IF(H$12=0,0,H88/H$12)</f>
        <v>0</v>
      </c>
      <c r="K88" s="1"/>
      <c r="L88" s="1">
        <f t="shared" ref="L88:L90" si="39">+D88-H88</f>
        <v>-43.75</v>
      </c>
      <c r="M88" s="1"/>
      <c r="N88" s="5">
        <f t="shared" ref="N88:N90" si="40">IF(H88=0,0,L88/H88)</f>
        <v>0</v>
      </c>
      <c r="O88" s="14"/>
      <c r="P88" s="1">
        <f>SUM(OSRRefP22_6x_0)</f>
        <v>-66.239999999999995</v>
      </c>
      <c r="Q88" s="1"/>
      <c r="R88" s="5">
        <f t="shared" ref="R88:R90" si="41">IF(P$12=0,0,P88/P$12)</f>
        <v>-2.2709996810315119E-5</v>
      </c>
      <c r="S88" s="1"/>
      <c r="T88" s="1">
        <f>SUM(OSRRefT22_6x_0)</f>
        <v>0</v>
      </c>
      <c r="U88" s="1"/>
      <c r="V88" s="5">
        <f t="shared" ref="V88:V90" si="42">IF(T$12=0,0,T88/T$12)</f>
        <v>0</v>
      </c>
      <c r="W88" s="1"/>
      <c r="X88" s="1">
        <f t="shared" ref="X88:X90" si="43">+P88-T88</f>
        <v>-66.239999999999995</v>
      </c>
      <c r="Y88" s="1"/>
      <c r="Z88" s="5">
        <f t="shared" ref="Z88:Z90" si="44">IF(T88=0,0,X88/T88)</f>
        <v>0</v>
      </c>
    </row>
    <row r="89" spans="1:26" s="24" customFormat="1" hidden="1" outlineLevel="2" x14ac:dyDescent="0.25">
      <c r="A89" s="27"/>
      <c r="B89" s="11" t="str">
        <f>CONCATENATE("          ", "6382", " - ", "DISCOUNTS/MARK DOWNS")</f>
        <v xml:space="preserve">          6382 - DISCOUNTS/MARK DOWNS</v>
      </c>
      <c r="C89" s="11"/>
      <c r="D89" s="7"/>
      <c r="E89" s="2"/>
      <c r="F89" s="6">
        <f t="shared" si="37"/>
        <v>0</v>
      </c>
      <c r="G89" s="2"/>
      <c r="H89" s="7"/>
      <c r="I89" s="2"/>
      <c r="J89" s="6">
        <f t="shared" si="38"/>
        <v>0</v>
      </c>
      <c r="K89" s="2"/>
      <c r="L89" s="7">
        <f t="shared" si="39"/>
        <v>0</v>
      </c>
      <c r="M89" s="2"/>
      <c r="N89" s="6">
        <f t="shared" si="40"/>
        <v>0</v>
      </c>
      <c r="O89" s="11"/>
      <c r="P89" s="7"/>
      <c r="Q89" s="2"/>
      <c r="R89" s="6">
        <f t="shared" si="41"/>
        <v>0</v>
      </c>
      <c r="S89" s="2"/>
      <c r="T89" s="7">
        <v>0</v>
      </c>
      <c r="U89" s="2"/>
      <c r="V89" s="6">
        <f t="shared" si="42"/>
        <v>0</v>
      </c>
      <c r="W89" s="2"/>
      <c r="X89" s="7">
        <f t="shared" si="43"/>
        <v>0</v>
      </c>
      <c r="Y89" s="2"/>
      <c r="Z89" s="6">
        <f t="shared" si="44"/>
        <v>0</v>
      </c>
    </row>
    <row r="90" spans="1:26" s="24" customFormat="1" hidden="1" outlineLevel="2" x14ac:dyDescent="0.25">
      <c r="A90" s="27"/>
      <c r="B90" s="11" t="str">
        <f>CONCATENATE("          ", "9175", " - ", "EARNED DISCOUNTS")</f>
        <v xml:space="preserve">          9175 - EARNED DISCOUNTS</v>
      </c>
      <c r="C90" s="11"/>
      <c r="D90" s="7">
        <v>-43.75</v>
      </c>
      <c r="E90" s="2"/>
      <c r="F90" s="6">
        <f t="shared" si="37"/>
        <v>-7.5921406923105638E-5</v>
      </c>
      <c r="G90" s="2"/>
      <c r="H90" s="7"/>
      <c r="I90" s="2"/>
      <c r="J90" s="6">
        <f t="shared" si="38"/>
        <v>0</v>
      </c>
      <c r="K90" s="2"/>
      <c r="L90" s="7">
        <f t="shared" si="39"/>
        <v>-43.75</v>
      </c>
      <c r="M90" s="2"/>
      <c r="N90" s="6">
        <f t="shared" si="40"/>
        <v>0</v>
      </c>
      <c r="O90" s="11"/>
      <c r="P90" s="7">
        <v>-66.239999999999995</v>
      </c>
      <c r="Q90" s="2"/>
      <c r="R90" s="6">
        <f t="shared" si="41"/>
        <v>-2.2709996810315119E-5</v>
      </c>
      <c r="S90" s="2"/>
      <c r="T90" s="7"/>
      <c r="U90" s="2"/>
      <c r="V90" s="6">
        <f t="shared" si="42"/>
        <v>0</v>
      </c>
      <c r="W90" s="2"/>
      <c r="X90" s="7">
        <f t="shared" si="43"/>
        <v>-66.239999999999995</v>
      </c>
      <c r="Y90" s="2"/>
      <c r="Z90" s="6">
        <f t="shared" si="44"/>
        <v>0</v>
      </c>
    </row>
    <row r="91" spans="1:26" s="28" customFormat="1" outlineLevel="1" collapsed="1" x14ac:dyDescent="0.25">
      <c r="A91" s="29"/>
      <c r="B91" s="14" t="str">
        <f>CONCATENATE("     ","Donations                                         ")</f>
        <v xml:space="preserve">     Donations                                         </v>
      </c>
      <c r="C91" s="14"/>
      <c r="D91" s="1">
        <f>SUM(OSRRefD22_7x_0)</f>
        <v>1483.48</v>
      </c>
      <c r="E91" s="1"/>
      <c r="F91" s="5">
        <f t="shared" ref="F91:F99" si="45">IF(D$12=0,0,D91/D$12)</f>
        <v>2.5743517426808859E-3</v>
      </c>
      <c r="G91" s="1"/>
      <c r="H91" s="1">
        <f>SUM(OSRRefH22_7x_0)</f>
        <v>1250</v>
      </c>
      <c r="I91" s="1"/>
      <c r="J91" s="5">
        <f t="shared" ref="J91:J99" si="46">IF(H$12=0,0,H91/H$12)</f>
        <v>2.8779496105558588E-3</v>
      </c>
      <c r="K91" s="1"/>
      <c r="L91" s="1">
        <f t="shared" ref="L91:L99" si="47">+D91-H91</f>
        <v>233.48000000000002</v>
      </c>
      <c r="M91" s="1"/>
      <c r="N91" s="5">
        <f t="shared" ref="N91:N99" si="48">IF(H91=0,0,L91/H91)</f>
        <v>0.18678400000000001</v>
      </c>
      <c r="O91" s="14"/>
      <c r="P91" s="1">
        <f>SUM(OSRRefP22_7x_0)</f>
        <v>1483.48</v>
      </c>
      <c r="Q91" s="1"/>
      <c r="R91" s="5">
        <f t="shared" ref="R91:R99" si="49">IF(P$12=0,0,P91/P$12)</f>
        <v>5.0860244668125419E-4</v>
      </c>
      <c r="S91" s="1"/>
      <c r="T91" s="1">
        <f>SUM(OSRRefT22_7x_0)</f>
        <v>5000</v>
      </c>
      <c r="U91" s="1"/>
      <c r="V91" s="5">
        <f t="shared" ref="V91:V99" si="50">IF(T$12=0,0,T91/T$12)</f>
        <v>1.1419576717401562E-3</v>
      </c>
      <c r="W91" s="1"/>
      <c r="X91" s="1">
        <f t="shared" ref="X91:X99" si="51">+P91-T91</f>
        <v>-3516.52</v>
      </c>
      <c r="Y91" s="1"/>
      <c r="Z91" s="5">
        <f t="shared" ref="Z91:Z99" si="52">IF(T91=0,0,X91/T91)</f>
        <v>-0.70330400000000004</v>
      </c>
    </row>
    <row r="92" spans="1:26" s="24" customFormat="1" hidden="1" outlineLevel="2" x14ac:dyDescent="0.25">
      <c r="A92" s="27"/>
      <c r="B92" s="11" t="str">
        <f>CONCATENATE("          ", "6399", " - ", "DONATION-ON CAMPUS")</f>
        <v xml:space="preserve">          6399 - DONATION-ON CAMPUS</v>
      </c>
      <c r="C92" s="11"/>
      <c r="D92" s="7">
        <v>1483.48</v>
      </c>
      <c r="E92" s="2"/>
      <c r="F92" s="6">
        <f t="shared" si="45"/>
        <v>2.5743517426808859E-3</v>
      </c>
      <c r="G92" s="2"/>
      <c r="H92" s="7">
        <v>1250</v>
      </c>
      <c r="I92" s="2"/>
      <c r="J92" s="6">
        <f t="shared" si="46"/>
        <v>2.8779496105558588E-3</v>
      </c>
      <c r="K92" s="2"/>
      <c r="L92" s="7">
        <f t="shared" si="47"/>
        <v>233.48000000000002</v>
      </c>
      <c r="M92" s="2"/>
      <c r="N92" s="6">
        <f t="shared" si="48"/>
        <v>0.18678400000000001</v>
      </c>
      <c r="O92" s="11"/>
      <c r="P92" s="7">
        <v>1483.48</v>
      </c>
      <c r="Q92" s="2"/>
      <c r="R92" s="6">
        <f t="shared" si="49"/>
        <v>5.0860244668125419E-4</v>
      </c>
      <c r="S92" s="2"/>
      <c r="T92" s="7">
        <v>5000</v>
      </c>
      <c r="U92" s="2"/>
      <c r="V92" s="6">
        <f t="shared" si="50"/>
        <v>1.1419576717401562E-3</v>
      </c>
      <c r="W92" s="2"/>
      <c r="X92" s="7">
        <f t="shared" si="51"/>
        <v>-3516.52</v>
      </c>
      <c r="Y92" s="2"/>
      <c r="Z92" s="6">
        <f t="shared" si="52"/>
        <v>-0.70330400000000004</v>
      </c>
    </row>
    <row r="93" spans="1:26" s="28" customFormat="1" outlineLevel="1" collapsed="1" x14ac:dyDescent="0.25">
      <c r="A93" s="29"/>
      <c r="B93" s="14" t="str">
        <f>CONCATENATE("     ","Employees' Appreciation                           ")</f>
        <v xml:space="preserve">     Employees' Appreciation                           </v>
      </c>
      <c r="C93" s="14"/>
      <c r="D93" s="1">
        <f>SUM(OSRRefD22_8x_0)</f>
        <v>0</v>
      </c>
      <c r="E93" s="1"/>
      <c r="F93" s="5">
        <f t="shared" si="45"/>
        <v>0</v>
      </c>
      <c r="G93" s="1"/>
      <c r="H93" s="1">
        <f>SUM(OSRRefH22_8x_0)</f>
        <v>225</v>
      </c>
      <c r="I93" s="1"/>
      <c r="J93" s="5">
        <f t="shared" si="46"/>
        <v>5.1803092990005458E-4</v>
      </c>
      <c r="K93" s="1"/>
      <c r="L93" s="1">
        <f t="shared" si="47"/>
        <v>-225</v>
      </c>
      <c r="M93" s="1"/>
      <c r="N93" s="5">
        <f t="shared" si="48"/>
        <v>-1</v>
      </c>
      <c r="O93" s="14"/>
      <c r="P93" s="1">
        <f>SUM(OSRRefP22_8x_0)</f>
        <v>1384.63</v>
      </c>
      <c r="Q93" s="1"/>
      <c r="R93" s="5">
        <f t="shared" si="49"/>
        <v>4.7471230198470153E-4</v>
      </c>
      <c r="S93" s="1"/>
      <c r="T93" s="1">
        <f>SUM(OSRRefT22_8x_0)</f>
        <v>900</v>
      </c>
      <c r="U93" s="1"/>
      <c r="V93" s="5">
        <f t="shared" si="50"/>
        <v>2.0555238091322811E-4</v>
      </c>
      <c r="W93" s="1"/>
      <c r="X93" s="1">
        <f t="shared" si="51"/>
        <v>484.63000000000011</v>
      </c>
      <c r="Y93" s="1"/>
      <c r="Z93" s="5">
        <f t="shared" si="52"/>
        <v>0.53847777777777794</v>
      </c>
    </row>
    <row r="94" spans="1:26" s="24" customFormat="1" hidden="1" outlineLevel="2" x14ac:dyDescent="0.25">
      <c r="A94" s="27"/>
      <c r="B94" s="11" t="str">
        <f>CONCATENATE("          ", "6277", " - ", "EMPLOYEE APPRECIATION")</f>
        <v xml:space="preserve">          6277 - EMPLOYEE APPRECIATION</v>
      </c>
      <c r="C94" s="11"/>
      <c r="D94" s="7"/>
      <c r="E94" s="2"/>
      <c r="F94" s="6">
        <f t="shared" si="45"/>
        <v>0</v>
      </c>
      <c r="G94" s="2"/>
      <c r="H94" s="7">
        <v>225</v>
      </c>
      <c r="I94" s="2"/>
      <c r="J94" s="6">
        <f t="shared" si="46"/>
        <v>5.1803092990005458E-4</v>
      </c>
      <c r="K94" s="2"/>
      <c r="L94" s="7">
        <f t="shared" si="47"/>
        <v>-225</v>
      </c>
      <c r="M94" s="2"/>
      <c r="N94" s="6">
        <f t="shared" si="48"/>
        <v>-1</v>
      </c>
      <c r="O94" s="11"/>
      <c r="P94" s="7">
        <v>1384.63</v>
      </c>
      <c r="Q94" s="2"/>
      <c r="R94" s="6">
        <f t="shared" si="49"/>
        <v>4.7471230198470153E-4</v>
      </c>
      <c r="S94" s="2"/>
      <c r="T94" s="7">
        <v>900</v>
      </c>
      <c r="U94" s="2"/>
      <c r="V94" s="6">
        <f t="shared" si="50"/>
        <v>2.0555238091322811E-4</v>
      </c>
      <c r="W94" s="2"/>
      <c r="X94" s="7">
        <f t="shared" si="51"/>
        <v>484.63000000000011</v>
      </c>
      <c r="Y94" s="2"/>
      <c r="Z94" s="6">
        <f t="shared" si="52"/>
        <v>0.53847777777777794</v>
      </c>
    </row>
    <row r="95" spans="1:26" s="28" customFormat="1" outlineLevel="1" collapsed="1" x14ac:dyDescent="0.25">
      <c r="A95" s="29"/>
      <c r="B95" s="14" t="str">
        <f>CONCATENATE("     ","Equipment Rental                                  ")</f>
        <v xml:space="preserve">     Equipment Rental                                  </v>
      </c>
      <c r="C95" s="14"/>
      <c r="D95" s="1">
        <f>SUM(OSRRefD22_9x_0)</f>
        <v>1531.35</v>
      </c>
      <c r="E95" s="1"/>
      <c r="F95" s="5">
        <f t="shared" si="45"/>
        <v>2.657422776953093E-3</v>
      </c>
      <c r="G95" s="1"/>
      <c r="H95" s="1">
        <f>SUM(OSRRefH22_9x_0)</f>
        <v>1876</v>
      </c>
      <c r="I95" s="1"/>
      <c r="J95" s="5">
        <f t="shared" si="46"/>
        <v>4.319226775522233E-3</v>
      </c>
      <c r="K95" s="1"/>
      <c r="L95" s="1">
        <f t="shared" si="47"/>
        <v>-344.65000000000009</v>
      </c>
      <c r="M95" s="1"/>
      <c r="N95" s="5">
        <f t="shared" si="48"/>
        <v>-0.18371535181236678</v>
      </c>
      <c r="O95" s="14"/>
      <c r="P95" s="1">
        <f>SUM(OSRRefP22_9x_0)</f>
        <v>6611.4</v>
      </c>
      <c r="Q95" s="1"/>
      <c r="R95" s="5">
        <f t="shared" si="49"/>
        <v>2.2666798446817236E-3</v>
      </c>
      <c r="S95" s="1"/>
      <c r="T95" s="1">
        <f>SUM(OSRRefT22_9x_0)</f>
        <v>7304</v>
      </c>
      <c r="U95" s="1"/>
      <c r="V95" s="5">
        <f t="shared" si="50"/>
        <v>1.6681717668780203E-3</v>
      </c>
      <c r="W95" s="1"/>
      <c r="X95" s="1">
        <f t="shared" si="51"/>
        <v>-692.60000000000036</v>
      </c>
      <c r="Y95" s="1"/>
      <c r="Z95" s="5">
        <f t="shared" si="52"/>
        <v>-9.4824753559693373E-2</v>
      </c>
    </row>
    <row r="96" spans="1:26" s="24" customFormat="1" hidden="1" outlineLevel="2" x14ac:dyDescent="0.25">
      <c r="A96" s="27"/>
      <c r="B96" s="11" t="str">
        <f>CONCATENATE("          ", "6351", " - ", "EQUIPMENT RENTAL")</f>
        <v xml:space="preserve">          6351 - EQUIPMENT RENTAL</v>
      </c>
      <c r="C96" s="11"/>
      <c r="D96" s="7">
        <v>1531.35</v>
      </c>
      <c r="E96" s="2"/>
      <c r="F96" s="6">
        <f t="shared" si="45"/>
        <v>2.657422776953093E-3</v>
      </c>
      <c r="G96" s="2"/>
      <c r="H96" s="7">
        <v>1876</v>
      </c>
      <c r="I96" s="2"/>
      <c r="J96" s="6">
        <f t="shared" si="46"/>
        <v>4.319226775522233E-3</v>
      </c>
      <c r="K96" s="2"/>
      <c r="L96" s="7">
        <f t="shared" si="47"/>
        <v>-344.65000000000009</v>
      </c>
      <c r="M96" s="2"/>
      <c r="N96" s="6">
        <f t="shared" si="48"/>
        <v>-0.18371535181236678</v>
      </c>
      <c r="O96" s="11"/>
      <c r="P96" s="7">
        <v>6611.4</v>
      </c>
      <c r="Q96" s="2"/>
      <c r="R96" s="6">
        <f t="shared" si="49"/>
        <v>2.2666798446817236E-3</v>
      </c>
      <c r="S96" s="2"/>
      <c r="T96" s="7">
        <v>7304</v>
      </c>
      <c r="U96" s="2"/>
      <c r="V96" s="6">
        <f t="shared" si="50"/>
        <v>1.6681717668780203E-3</v>
      </c>
      <c r="W96" s="2"/>
      <c r="X96" s="7">
        <f t="shared" si="51"/>
        <v>-692.60000000000036</v>
      </c>
      <c r="Y96" s="2"/>
      <c r="Z96" s="6">
        <f t="shared" si="52"/>
        <v>-9.4824753559693373E-2</v>
      </c>
    </row>
    <row r="97" spans="1:26" s="28" customFormat="1" outlineLevel="1" collapsed="1" x14ac:dyDescent="0.25">
      <c r="A97" s="29"/>
      <c r="B97" s="14" t="str">
        <f>CONCATENATE("     ","Freight out/Postage                               ")</f>
        <v xml:space="preserve">     Freight out/Postage                               </v>
      </c>
      <c r="C97" s="14"/>
      <c r="D97" s="1">
        <f>SUM(OSRRefD22_10x_0)</f>
        <v>-23519.489999999998</v>
      </c>
      <c r="E97" s="1"/>
      <c r="F97" s="5">
        <f t="shared" si="45"/>
        <v>-4.0814463335175175E-2</v>
      </c>
      <c r="G97" s="1"/>
      <c r="H97" s="1">
        <f>SUM(OSRRefH22_10x_0)</f>
        <v>45250</v>
      </c>
      <c r="I97" s="1"/>
      <c r="J97" s="5">
        <f t="shared" si="46"/>
        <v>0.10418177590212209</v>
      </c>
      <c r="K97" s="1"/>
      <c r="L97" s="1">
        <f t="shared" si="47"/>
        <v>-68769.489999999991</v>
      </c>
      <c r="M97" s="1"/>
      <c r="N97" s="5">
        <f t="shared" si="48"/>
        <v>-1.5197677348066296</v>
      </c>
      <c r="O97" s="14"/>
      <c r="P97" s="1">
        <f>SUM(OSRRefP22_10x_0)</f>
        <v>-35649.289999999994</v>
      </c>
      <c r="Q97" s="1"/>
      <c r="R97" s="5">
        <f t="shared" si="49"/>
        <v>-1.222215069731278E-2</v>
      </c>
      <c r="S97" s="1"/>
      <c r="T97" s="1">
        <f>SUM(OSRRefT22_10x_0)</f>
        <v>-2000</v>
      </c>
      <c r="U97" s="1"/>
      <c r="V97" s="5">
        <f t="shared" si="50"/>
        <v>-4.567830686960625E-4</v>
      </c>
      <c r="W97" s="1"/>
      <c r="X97" s="1">
        <f t="shared" si="51"/>
        <v>-33649.289999999994</v>
      </c>
      <c r="Y97" s="1"/>
      <c r="Z97" s="5">
        <f t="shared" si="52"/>
        <v>16.824644999999997</v>
      </c>
    </row>
    <row r="98" spans="1:26" s="24" customFormat="1" hidden="1" outlineLevel="2" x14ac:dyDescent="0.25">
      <c r="A98" s="27"/>
      <c r="B98" s="11" t="str">
        <f>CONCATENATE("          ", "6305", " - ", "FREIGHT OUT")</f>
        <v xml:space="preserve">          6305 - FREIGHT OUT</v>
      </c>
      <c r="C98" s="11"/>
      <c r="D98" s="7">
        <v>26185.08</v>
      </c>
      <c r="E98" s="2"/>
      <c r="F98" s="6">
        <f t="shared" si="45"/>
        <v>4.5440185462721723E-2</v>
      </c>
      <c r="G98" s="2"/>
      <c r="H98" s="7">
        <v>56850</v>
      </c>
      <c r="I98" s="2"/>
      <c r="J98" s="6">
        <f t="shared" si="46"/>
        <v>0.13088914828808046</v>
      </c>
      <c r="K98" s="2"/>
      <c r="L98" s="7">
        <f t="shared" si="47"/>
        <v>-30664.92</v>
      </c>
      <c r="M98" s="2"/>
      <c r="N98" s="6">
        <f t="shared" si="48"/>
        <v>-0.53940052770448543</v>
      </c>
      <c r="O98" s="11"/>
      <c r="P98" s="7">
        <v>54764.89</v>
      </c>
      <c r="Q98" s="2"/>
      <c r="R98" s="6">
        <f t="shared" si="49"/>
        <v>1.8775822421758129E-2</v>
      </c>
      <c r="S98" s="2"/>
      <c r="T98" s="7">
        <v>74900</v>
      </c>
      <c r="U98" s="2"/>
      <c r="V98" s="6">
        <f t="shared" si="50"/>
        <v>1.710652592266754E-2</v>
      </c>
      <c r="W98" s="2"/>
      <c r="X98" s="7">
        <f t="shared" si="51"/>
        <v>-20135.11</v>
      </c>
      <c r="Y98" s="2"/>
      <c r="Z98" s="6">
        <f t="shared" si="52"/>
        <v>-0.26882656875834449</v>
      </c>
    </row>
    <row r="99" spans="1:26" s="24" customFormat="1" hidden="1" outlineLevel="2" x14ac:dyDescent="0.25">
      <c r="A99" s="27"/>
      <c r="B99" s="11" t="str">
        <f>CONCATENATE("          ", "6307", " - ", "POSTAGE")</f>
        <v xml:space="preserve">          6307 - POSTAGE</v>
      </c>
      <c r="C99" s="11"/>
      <c r="D99" s="7">
        <v>-49704.57</v>
      </c>
      <c r="E99" s="2"/>
      <c r="F99" s="6">
        <f t="shared" si="45"/>
        <v>-8.6254648797896891E-2</v>
      </c>
      <c r="G99" s="2"/>
      <c r="H99" s="7">
        <v>-11600</v>
      </c>
      <c r="I99" s="2"/>
      <c r="J99" s="6">
        <f t="shared" si="46"/>
        <v>-2.6707372385958369E-2</v>
      </c>
      <c r="K99" s="2"/>
      <c r="L99" s="7">
        <f t="shared" si="47"/>
        <v>-38104.57</v>
      </c>
      <c r="M99" s="2"/>
      <c r="N99" s="6">
        <f t="shared" si="48"/>
        <v>3.2848767241379311</v>
      </c>
      <c r="O99" s="11"/>
      <c r="P99" s="7">
        <v>-90414.18</v>
      </c>
      <c r="Q99" s="2"/>
      <c r="R99" s="6">
        <f t="shared" si="49"/>
        <v>-3.0997973119070907E-2</v>
      </c>
      <c r="S99" s="2"/>
      <c r="T99" s="7">
        <v>-76900</v>
      </c>
      <c r="U99" s="2"/>
      <c r="V99" s="6">
        <f t="shared" si="50"/>
        <v>-1.7563308991363602E-2</v>
      </c>
      <c r="W99" s="2"/>
      <c r="X99" s="7">
        <f t="shared" si="51"/>
        <v>-13514.179999999993</v>
      </c>
      <c r="Y99" s="2"/>
      <c r="Z99" s="6">
        <f t="shared" si="52"/>
        <v>0.1757370611183354</v>
      </c>
    </row>
    <row r="100" spans="1:26" s="28" customFormat="1" outlineLevel="1" collapsed="1" x14ac:dyDescent="0.25">
      <c r="A100" s="29"/>
      <c r="B100" s="14" t="str">
        <f>CONCATENATE("     ","General                                           ")</f>
        <v xml:space="preserve">     General                                           </v>
      </c>
      <c r="C100" s="14"/>
      <c r="D100" s="1">
        <f>SUM(OSRRefD22_11x_0)</f>
        <v>327.5</v>
      </c>
      <c r="E100" s="1"/>
      <c r="F100" s="5">
        <f t="shared" ref="F100:F102" si="53">IF(D$12=0,0,D100/D$12)</f>
        <v>5.6832596039581935E-4</v>
      </c>
      <c r="G100" s="1"/>
      <c r="H100" s="1">
        <f>SUM(OSRRefH22_11x_0)</f>
        <v>200</v>
      </c>
      <c r="I100" s="1"/>
      <c r="J100" s="5">
        <f t="shared" ref="J100:J102" si="54">IF(H$12=0,0,H100/H$12)</f>
        <v>4.604719376889374E-4</v>
      </c>
      <c r="K100" s="1"/>
      <c r="L100" s="1">
        <f t="shared" ref="L100:L102" si="55">+D100-H100</f>
        <v>127.5</v>
      </c>
      <c r="M100" s="1"/>
      <c r="N100" s="5">
        <f t="shared" ref="N100:N102" si="56">IF(H100=0,0,L100/H100)</f>
        <v>0.63749999999999996</v>
      </c>
      <c r="O100" s="14"/>
      <c r="P100" s="1">
        <f>SUM(OSRRefP22_11x_0)</f>
        <v>3806.1</v>
      </c>
      <c r="Q100" s="1"/>
      <c r="R100" s="5">
        <f t="shared" ref="R100:R102" si="57">IF(P$12=0,0,P100/P$12)</f>
        <v>1.3048991373753077E-3</v>
      </c>
      <c r="S100" s="1"/>
      <c r="T100" s="1">
        <f>SUM(OSRRefT22_11x_0)</f>
        <v>1350</v>
      </c>
      <c r="U100" s="1"/>
      <c r="V100" s="5">
        <f t="shared" ref="V100:V102" si="58">IF(T$12=0,0,T100/T$12)</f>
        <v>3.0832857136984219E-4</v>
      </c>
      <c r="W100" s="1"/>
      <c r="X100" s="1">
        <f t="shared" ref="X100:X102" si="59">+P100-T100</f>
        <v>2456.1</v>
      </c>
      <c r="Y100" s="1"/>
      <c r="Z100" s="5">
        <f t="shared" ref="Z100:Z102" si="60">IF(T100=0,0,X100/T100)</f>
        <v>1.8193333333333332</v>
      </c>
    </row>
    <row r="101" spans="1:26" s="24" customFormat="1" hidden="1" outlineLevel="2" x14ac:dyDescent="0.25">
      <c r="A101" s="27"/>
      <c r="B101" s="11" t="str">
        <f>CONCATENATE("          ", "6276", " - ", "PROPERTY TAX")</f>
        <v xml:space="preserve">          6276 - PROPERTY TAX</v>
      </c>
      <c r="C101" s="11"/>
      <c r="D101" s="7"/>
      <c r="E101" s="2"/>
      <c r="F101" s="6">
        <f t="shared" si="53"/>
        <v>0</v>
      </c>
      <c r="G101" s="2"/>
      <c r="H101" s="7"/>
      <c r="I101" s="2"/>
      <c r="J101" s="6">
        <f t="shared" si="54"/>
        <v>0</v>
      </c>
      <c r="K101" s="2"/>
      <c r="L101" s="7">
        <f t="shared" si="55"/>
        <v>0</v>
      </c>
      <c r="M101" s="2"/>
      <c r="N101" s="6">
        <f t="shared" si="56"/>
        <v>0</v>
      </c>
      <c r="O101" s="11"/>
      <c r="P101" s="7"/>
      <c r="Q101" s="2"/>
      <c r="R101" s="6">
        <f t="shared" si="57"/>
        <v>0</v>
      </c>
      <c r="S101" s="2"/>
      <c r="T101" s="7">
        <v>125</v>
      </c>
      <c r="U101" s="2"/>
      <c r="V101" s="6">
        <f t="shared" si="58"/>
        <v>2.8548941793503907E-5</v>
      </c>
      <c r="W101" s="2"/>
      <c r="X101" s="7">
        <f t="shared" si="59"/>
        <v>-125</v>
      </c>
      <c r="Y101" s="2"/>
      <c r="Z101" s="6">
        <f t="shared" si="60"/>
        <v>-1</v>
      </c>
    </row>
    <row r="102" spans="1:26" s="24" customFormat="1" hidden="1" outlineLevel="2" x14ac:dyDescent="0.25">
      <c r="A102" s="27"/>
      <c r="B102" s="11" t="str">
        <f>CONCATENATE("          ", "6279", " - ", "GENERAL EXPENSE")</f>
        <v xml:space="preserve">          6279 - GENERAL EXPENSE</v>
      </c>
      <c r="C102" s="11"/>
      <c r="D102" s="7">
        <v>327.5</v>
      </c>
      <c r="E102" s="2"/>
      <c r="F102" s="6">
        <f t="shared" si="53"/>
        <v>5.6832596039581935E-4</v>
      </c>
      <c r="G102" s="2"/>
      <c r="H102" s="7">
        <v>200</v>
      </c>
      <c r="I102" s="2"/>
      <c r="J102" s="6">
        <f t="shared" si="54"/>
        <v>4.604719376889374E-4</v>
      </c>
      <c r="K102" s="2"/>
      <c r="L102" s="7">
        <f t="shared" si="55"/>
        <v>127.5</v>
      </c>
      <c r="M102" s="2"/>
      <c r="N102" s="6">
        <f t="shared" si="56"/>
        <v>0.63749999999999996</v>
      </c>
      <c r="O102" s="11"/>
      <c r="P102" s="7">
        <v>3806.1</v>
      </c>
      <c r="Q102" s="2"/>
      <c r="R102" s="6">
        <f t="shared" si="57"/>
        <v>1.3048991373753077E-3</v>
      </c>
      <c r="S102" s="2"/>
      <c r="T102" s="7">
        <v>1225</v>
      </c>
      <c r="U102" s="2"/>
      <c r="V102" s="6">
        <f t="shared" si="58"/>
        <v>2.7977962957633829E-4</v>
      </c>
      <c r="W102" s="2"/>
      <c r="X102" s="7">
        <f t="shared" si="59"/>
        <v>2581.1</v>
      </c>
      <c r="Y102" s="2"/>
      <c r="Z102" s="6">
        <f t="shared" si="60"/>
        <v>2.1070204081632653</v>
      </c>
    </row>
    <row r="103" spans="1:26" s="28" customFormat="1" outlineLevel="1" collapsed="1" x14ac:dyDescent="0.25">
      <c r="A103" s="29"/>
      <c r="B103" s="14" t="str">
        <f>CONCATENATE("     ","Insurance                                         ")</f>
        <v xml:space="preserve">     Insurance                                         </v>
      </c>
      <c r="C103" s="14"/>
      <c r="D103" s="1">
        <f>SUM(OSRRefD22_12x_0)</f>
        <v>5825.58</v>
      </c>
      <c r="E103" s="1"/>
      <c r="F103" s="5">
        <f t="shared" ref="F103:F117" si="61">IF(D$12=0,0,D103/D$12)</f>
        <v>1.0109399536985276E-2</v>
      </c>
      <c r="G103" s="1"/>
      <c r="H103" s="1">
        <f>SUM(OSRRefH22_12x_0)</f>
        <v>5705</v>
      </c>
      <c r="I103" s="1"/>
      <c r="J103" s="5">
        <f t="shared" ref="J103:J117" si="62">IF(H$12=0,0,H103/H$12)</f>
        <v>1.3134962022576939E-2</v>
      </c>
      <c r="K103" s="1"/>
      <c r="L103" s="1">
        <f t="shared" ref="L103:L117" si="63">+D103-H103</f>
        <v>120.57999999999993</v>
      </c>
      <c r="M103" s="1"/>
      <c r="N103" s="5">
        <f t="shared" ref="N103:N117" si="64">IF(H103=0,0,L103/H103)</f>
        <v>2.1135845749342668E-2</v>
      </c>
      <c r="O103" s="14"/>
      <c r="P103" s="1">
        <f>SUM(OSRRefP22_12x_0)</f>
        <v>23302.32</v>
      </c>
      <c r="Q103" s="1"/>
      <c r="R103" s="5">
        <f t="shared" ref="R103:R117" si="65">IF(P$12=0,0,P103/P$12)</f>
        <v>7.9890642039997326E-3</v>
      </c>
      <c r="S103" s="1"/>
      <c r="T103" s="1">
        <f>SUM(OSRRefT22_12x_0)</f>
        <v>22820</v>
      </c>
      <c r="U103" s="1"/>
      <c r="V103" s="5">
        <f t="shared" ref="V103:V117" si="66">IF(T$12=0,0,T103/T$12)</f>
        <v>5.211894813822073E-3</v>
      </c>
      <c r="W103" s="1"/>
      <c r="X103" s="1">
        <f t="shared" ref="X103:X117" si="67">+P103-T103</f>
        <v>482.31999999999971</v>
      </c>
      <c r="Y103" s="1"/>
      <c r="Z103" s="5">
        <f t="shared" ref="Z103:Z117" si="68">IF(T103=0,0,X103/T103)</f>
        <v>2.1135845749342668E-2</v>
      </c>
    </row>
    <row r="104" spans="1:26" s="24" customFormat="1" hidden="1" outlineLevel="2" x14ac:dyDescent="0.25">
      <c r="A104" s="27"/>
      <c r="B104" s="11" t="str">
        <f>CONCATENATE("          ", "6314", " - ", "LIABILITY INSURANCE")</f>
        <v xml:space="preserve">          6314 - LIABILITY INSURANCE</v>
      </c>
      <c r="C104" s="11"/>
      <c r="D104" s="7">
        <v>5825.58</v>
      </c>
      <c r="E104" s="2"/>
      <c r="F104" s="6">
        <f t="shared" si="61"/>
        <v>1.0109399536985276E-2</v>
      </c>
      <c r="G104" s="2"/>
      <c r="H104" s="7">
        <v>5705</v>
      </c>
      <c r="I104" s="2"/>
      <c r="J104" s="6">
        <f t="shared" si="62"/>
        <v>1.3134962022576939E-2</v>
      </c>
      <c r="K104" s="2"/>
      <c r="L104" s="7">
        <f t="shared" si="63"/>
        <v>120.57999999999993</v>
      </c>
      <c r="M104" s="2"/>
      <c r="N104" s="6">
        <f t="shared" si="64"/>
        <v>2.1135845749342668E-2</v>
      </c>
      <c r="O104" s="11"/>
      <c r="P104" s="7">
        <v>23302.32</v>
      </c>
      <c r="Q104" s="2"/>
      <c r="R104" s="6">
        <f t="shared" si="65"/>
        <v>7.9890642039997326E-3</v>
      </c>
      <c r="S104" s="2"/>
      <c r="T104" s="7">
        <v>22820</v>
      </c>
      <c r="U104" s="2"/>
      <c r="V104" s="6">
        <f t="shared" si="66"/>
        <v>5.211894813822073E-3</v>
      </c>
      <c r="W104" s="2"/>
      <c r="X104" s="7">
        <f t="shared" si="67"/>
        <v>482.31999999999971</v>
      </c>
      <c r="Y104" s="2"/>
      <c r="Z104" s="6">
        <f t="shared" si="68"/>
        <v>2.1135845749342668E-2</v>
      </c>
    </row>
    <row r="105" spans="1:26" s="28" customFormat="1" outlineLevel="1" collapsed="1" x14ac:dyDescent="0.25">
      <c r="A105" s="29"/>
      <c r="B105" s="14" t="str">
        <f>CONCATENATE("     ","Interest                                          ")</f>
        <v xml:space="preserve">     Interest                                          </v>
      </c>
      <c r="C105" s="14"/>
      <c r="D105" s="1">
        <f>SUM(OSRRefD22_13x_0)</f>
        <v>3629</v>
      </c>
      <c r="E105" s="1"/>
      <c r="F105" s="5">
        <f t="shared" si="61"/>
        <v>6.2975722451188657E-3</v>
      </c>
      <c r="G105" s="1"/>
      <c r="H105" s="1">
        <f>SUM(OSRRefH22_13x_0)</f>
        <v>3905</v>
      </c>
      <c r="I105" s="1"/>
      <c r="J105" s="5">
        <f t="shared" si="62"/>
        <v>8.990714583376502E-3</v>
      </c>
      <c r="K105" s="1"/>
      <c r="L105" s="1">
        <f t="shared" si="63"/>
        <v>-276</v>
      </c>
      <c r="M105" s="1"/>
      <c r="N105" s="5">
        <f t="shared" si="64"/>
        <v>-7.0678617157490395E-2</v>
      </c>
      <c r="O105" s="14"/>
      <c r="P105" s="1">
        <f>SUM(OSRRefP22_13x_0)</f>
        <v>15344</v>
      </c>
      <c r="Q105" s="1"/>
      <c r="R105" s="5">
        <f t="shared" si="65"/>
        <v>5.2606007104087438E-3</v>
      </c>
      <c r="S105" s="1"/>
      <c r="T105" s="1">
        <f>SUM(OSRRefT22_13x_0)</f>
        <v>15620</v>
      </c>
      <c r="U105" s="1"/>
      <c r="V105" s="5">
        <f t="shared" si="66"/>
        <v>3.5674757665162481E-3</v>
      </c>
      <c r="W105" s="1"/>
      <c r="X105" s="1">
        <f t="shared" si="67"/>
        <v>-276</v>
      </c>
      <c r="Y105" s="1"/>
      <c r="Z105" s="5">
        <f t="shared" si="68"/>
        <v>-1.7669654289372599E-2</v>
      </c>
    </row>
    <row r="106" spans="1:26" s="24" customFormat="1" hidden="1" outlineLevel="2" x14ac:dyDescent="0.25">
      <c r="A106" s="27"/>
      <c r="B106" s="11" t="str">
        <f>CONCATENATE("          ", "6401", " - ", "INTEREST EXPENSE")</f>
        <v xml:space="preserve">          6401 - INTEREST EXPENSE</v>
      </c>
      <c r="C106" s="11"/>
      <c r="D106" s="7">
        <v>3629</v>
      </c>
      <c r="E106" s="2"/>
      <c r="F106" s="6">
        <f t="shared" si="61"/>
        <v>6.2975722451188657E-3</v>
      </c>
      <c r="G106" s="2"/>
      <c r="H106" s="7">
        <v>3905</v>
      </c>
      <c r="I106" s="2"/>
      <c r="J106" s="6">
        <f t="shared" si="62"/>
        <v>8.990714583376502E-3</v>
      </c>
      <c r="K106" s="2"/>
      <c r="L106" s="7">
        <f t="shared" si="63"/>
        <v>-276</v>
      </c>
      <c r="M106" s="2"/>
      <c r="N106" s="6">
        <f t="shared" si="64"/>
        <v>-7.0678617157490395E-2</v>
      </c>
      <c r="O106" s="11"/>
      <c r="P106" s="7">
        <v>15344</v>
      </c>
      <c r="Q106" s="2"/>
      <c r="R106" s="6">
        <f t="shared" si="65"/>
        <v>5.2606007104087438E-3</v>
      </c>
      <c r="S106" s="2"/>
      <c r="T106" s="7">
        <v>15620</v>
      </c>
      <c r="U106" s="2"/>
      <c r="V106" s="6">
        <f t="shared" si="66"/>
        <v>3.5674757665162481E-3</v>
      </c>
      <c r="W106" s="2"/>
      <c r="X106" s="7">
        <f t="shared" si="67"/>
        <v>-276</v>
      </c>
      <c r="Y106" s="2"/>
      <c r="Z106" s="6">
        <f t="shared" si="68"/>
        <v>-1.7669654289372599E-2</v>
      </c>
    </row>
    <row r="107" spans="1:26" s="28" customFormat="1" outlineLevel="1" collapsed="1" x14ac:dyDescent="0.25">
      <c r="A107" s="29"/>
      <c r="B107" s="14" t="str">
        <f>CONCATENATE("     ","Inventory Adjustment                              ")</f>
        <v xml:space="preserve">     Inventory Adjustment                              </v>
      </c>
      <c r="C107" s="14"/>
      <c r="D107" s="1">
        <f>SUM(OSRRefD22_14x_0)</f>
        <v>5100</v>
      </c>
      <c r="E107" s="1"/>
      <c r="F107" s="5">
        <f t="shared" si="61"/>
        <v>8.8502668641791717E-3</v>
      </c>
      <c r="G107" s="1"/>
      <c r="H107" s="1">
        <f>SUM(OSRRefH22_14x_0)</f>
        <v>5100</v>
      </c>
      <c r="I107" s="1"/>
      <c r="J107" s="5">
        <f t="shared" si="62"/>
        <v>1.1742034411067904E-2</v>
      </c>
      <c r="K107" s="1"/>
      <c r="L107" s="1">
        <f t="shared" si="63"/>
        <v>0</v>
      </c>
      <c r="M107" s="1"/>
      <c r="N107" s="5">
        <f t="shared" si="64"/>
        <v>0</v>
      </c>
      <c r="O107" s="14"/>
      <c r="P107" s="1">
        <f>SUM(OSRRefP22_14x_0)</f>
        <v>20400</v>
      </c>
      <c r="Q107" s="1"/>
      <c r="R107" s="5">
        <f t="shared" si="65"/>
        <v>6.9940207567999466E-3</v>
      </c>
      <c r="S107" s="1"/>
      <c r="T107" s="1">
        <f>SUM(OSRRefT22_14x_0)</f>
        <v>20400</v>
      </c>
      <c r="U107" s="1"/>
      <c r="V107" s="5">
        <f t="shared" si="66"/>
        <v>4.659187300699837E-3</v>
      </c>
      <c r="W107" s="1"/>
      <c r="X107" s="1">
        <f t="shared" si="67"/>
        <v>0</v>
      </c>
      <c r="Y107" s="1"/>
      <c r="Z107" s="5">
        <f t="shared" si="68"/>
        <v>0</v>
      </c>
    </row>
    <row r="108" spans="1:26" s="24" customFormat="1" hidden="1" outlineLevel="2" x14ac:dyDescent="0.25">
      <c r="A108" s="27"/>
      <c r="B108" s="11" t="str">
        <f>CONCATENATE("          ", "6408", " - ", "INVENTORY ADJUSTMENT")</f>
        <v xml:space="preserve">          6408 - INVENTORY ADJUSTMENT</v>
      </c>
      <c r="C108" s="11"/>
      <c r="D108" s="7">
        <v>5100</v>
      </c>
      <c r="E108" s="2"/>
      <c r="F108" s="6">
        <f t="shared" si="61"/>
        <v>8.8502668641791717E-3</v>
      </c>
      <c r="G108" s="2"/>
      <c r="H108" s="7">
        <v>5100</v>
      </c>
      <c r="I108" s="2"/>
      <c r="J108" s="6">
        <f t="shared" si="62"/>
        <v>1.1742034411067904E-2</v>
      </c>
      <c r="K108" s="2"/>
      <c r="L108" s="7">
        <f t="shared" si="63"/>
        <v>0</v>
      </c>
      <c r="M108" s="2"/>
      <c r="N108" s="6">
        <f t="shared" si="64"/>
        <v>0</v>
      </c>
      <c r="O108" s="11"/>
      <c r="P108" s="7">
        <v>20400</v>
      </c>
      <c r="Q108" s="2"/>
      <c r="R108" s="6">
        <f t="shared" si="65"/>
        <v>6.9940207567999466E-3</v>
      </c>
      <c r="S108" s="2"/>
      <c r="T108" s="7">
        <v>20400</v>
      </c>
      <c r="U108" s="2"/>
      <c r="V108" s="6">
        <f t="shared" si="66"/>
        <v>4.659187300699837E-3</v>
      </c>
      <c r="W108" s="2"/>
      <c r="X108" s="7">
        <f t="shared" si="67"/>
        <v>0</v>
      </c>
      <c r="Y108" s="2"/>
      <c r="Z108" s="6">
        <f t="shared" si="68"/>
        <v>0</v>
      </c>
    </row>
    <row r="109" spans="1:26" s="28" customFormat="1" outlineLevel="1" collapsed="1" x14ac:dyDescent="0.25">
      <c r="A109" s="29"/>
      <c r="B109" s="14" t="str">
        <f>CONCATENATE("     ","Professional Services                             ")</f>
        <v xml:space="preserve">     Professional Services                             </v>
      </c>
      <c r="C109" s="14"/>
      <c r="D109" s="1">
        <f>SUM(OSRRefD22_15x_0)</f>
        <v>8186.53</v>
      </c>
      <c r="E109" s="1"/>
      <c r="F109" s="5">
        <f t="shared" si="61"/>
        <v>1.4206465723844847E-2</v>
      </c>
      <c r="G109" s="1"/>
      <c r="H109" s="1">
        <f>SUM(OSRRefH22_15x_0)</f>
        <v>250</v>
      </c>
      <c r="I109" s="1"/>
      <c r="J109" s="5">
        <f t="shared" si="62"/>
        <v>5.7558992211117176E-4</v>
      </c>
      <c r="K109" s="1"/>
      <c r="L109" s="1">
        <f t="shared" si="63"/>
        <v>7936.53</v>
      </c>
      <c r="M109" s="1"/>
      <c r="N109" s="5">
        <f t="shared" si="64"/>
        <v>31.746119999999998</v>
      </c>
      <c r="O109" s="14"/>
      <c r="P109" s="1">
        <f>SUM(OSRRefP22_15x_0)</f>
        <v>8186.53</v>
      </c>
      <c r="Q109" s="1"/>
      <c r="R109" s="5">
        <f t="shared" si="65"/>
        <v>2.8067039581453658E-3</v>
      </c>
      <c r="S109" s="1"/>
      <c r="T109" s="1">
        <f>SUM(OSRRefT22_15x_0)</f>
        <v>1250</v>
      </c>
      <c r="U109" s="1"/>
      <c r="V109" s="5">
        <f t="shared" si="66"/>
        <v>2.8548941793503905E-4</v>
      </c>
      <c r="W109" s="1"/>
      <c r="X109" s="1">
        <f t="shared" si="67"/>
        <v>6936.53</v>
      </c>
      <c r="Y109" s="1"/>
      <c r="Z109" s="5">
        <f t="shared" si="68"/>
        <v>5.5492239999999997</v>
      </c>
    </row>
    <row r="110" spans="1:26" s="24" customFormat="1" hidden="1" outlineLevel="2" x14ac:dyDescent="0.25">
      <c r="A110" s="27"/>
      <c r="B110" s="11" t="str">
        <f>CONCATENATE("          ", "6336", " - ", "PROFESSIONAL SERVICES")</f>
        <v xml:space="preserve">          6336 - PROFESSIONAL SERVICES</v>
      </c>
      <c r="C110" s="11"/>
      <c r="D110" s="7">
        <v>8186.53</v>
      </c>
      <c r="E110" s="2"/>
      <c r="F110" s="6">
        <f t="shared" si="61"/>
        <v>1.4206465723844847E-2</v>
      </c>
      <c r="G110" s="2"/>
      <c r="H110" s="7">
        <v>250</v>
      </c>
      <c r="I110" s="2"/>
      <c r="J110" s="6">
        <f t="shared" si="62"/>
        <v>5.7558992211117176E-4</v>
      </c>
      <c r="K110" s="2"/>
      <c r="L110" s="7">
        <f t="shared" si="63"/>
        <v>7936.53</v>
      </c>
      <c r="M110" s="2"/>
      <c r="N110" s="6">
        <f t="shared" si="64"/>
        <v>31.746119999999998</v>
      </c>
      <c r="O110" s="11"/>
      <c r="P110" s="7">
        <v>8186.53</v>
      </c>
      <c r="Q110" s="2"/>
      <c r="R110" s="6">
        <f t="shared" si="65"/>
        <v>2.8067039581453658E-3</v>
      </c>
      <c r="S110" s="2"/>
      <c r="T110" s="7">
        <v>1250</v>
      </c>
      <c r="U110" s="2"/>
      <c r="V110" s="6">
        <f t="shared" si="66"/>
        <v>2.8548941793503905E-4</v>
      </c>
      <c r="W110" s="2"/>
      <c r="X110" s="7">
        <f t="shared" si="67"/>
        <v>6936.53</v>
      </c>
      <c r="Y110" s="2"/>
      <c r="Z110" s="6">
        <f t="shared" si="68"/>
        <v>5.5492239999999997</v>
      </c>
    </row>
    <row r="111" spans="1:26" s="28" customFormat="1" outlineLevel="1" collapsed="1" x14ac:dyDescent="0.25">
      <c r="A111" s="29"/>
      <c r="B111" s="14" t="str">
        <f>CONCATENATE("     ","Rent                                              ")</f>
        <v xml:space="preserve">     Rent                                              </v>
      </c>
      <c r="C111" s="14"/>
      <c r="D111" s="1">
        <f>SUM(OSRRefD22_16x_0)</f>
        <v>6100</v>
      </c>
      <c r="E111" s="1"/>
      <c r="F111" s="5">
        <f t="shared" si="61"/>
        <v>1.0585613308135873E-2</v>
      </c>
      <c r="G111" s="1"/>
      <c r="H111" s="1">
        <f>SUM(OSRRefH22_16x_0)</f>
        <v>6100</v>
      </c>
      <c r="I111" s="1"/>
      <c r="J111" s="5">
        <f t="shared" si="62"/>
        <v>1.4044394099512591E-2</v>
      </c>
      <c r="K111" s="1"/>
      <c r="L111" s="1">
        <f t="shared" si="63"/>
        <v>0</v>
      </c>
      <c r="M111" s="1"/>
      <c r="N111" s="5">
        <f t="shared" si="64"/>
        <v>0</v>
      </c>
      <c r="O111" s="14"/>
      <c r="P111" s="1">
        <f>SUM(OSRRefP22_16x_0)</f>
        <v>24400</v>
      </c>
      <c r="Q111" s="1"/>
      <c r="R111" s="5">
        <f t="shared" si="65"/>
        <v>8.3653973757803288E-3</v>
      </c>
      <c r="S111" s="1"/>
      <c r="T111" s="1">
        <f>SUM(OSRRefT22_16x_0)</f>
        <v>24400</v>
      </c>
      <c r="U111" s="1"/>
      <c r="V111" s="5">
        <f t="shared" si="66"/>
        <v>5.5727534380919626E-3</v>
      </c>
      <c r="W111" s="1"/>
      <c r="X111" s="1">
        <f t="shared" si="67"/>
        <v>0</v>
      </c>
      <c r="Y111" s="1"/>
      <c r="Z111" s="5">
        <f t="shared" si="68"/>
        <v>0</v>
      </c>
    </row>
    <row r="112" spans="1:26" s="24" customFormat="1" hidden="1" outlineLevel="2" x14ac:dyDescent="0.25">
      <c r="A112" s="27"/>
      <c r="B112" s="11" t="str">
        <f>CONCATENATE("          ", "6273", " - ", "RENT")</f>
        <v xml:space="preserve">          6273 - RENT</v>
      </c>
      <c r="C112" s="11"/>
      <c r="D112" s="7">
        <v>6100</v>
      </c>
      <c r="E112" s="2"/>
      <c r="F112" s="6">
        <f t="shared" si="61"/>
        <v>1.0585613308135873E-2</v>
      </c>
      <c r="G112" s="2"/>
      <c r="H112" s="7">
        <v>6100</v>
      </c>
      <c r="I112" s="2"/>
      <c r="J112" s="6">
        <f t="shared" si="62"/>
        <v>1.4044394099512591E-2</v>
      </c>
      <c r="K112" s="2"/>
      <c r="L112" s="7">
        <f t="shared" si="63"/>
        <v>0</v>
      </c>
      <c r="M112" s="2"/>
      <c r="N112" s="6">
        <f t="shared" si="64"/>
        <v>0</v>
      </c>
      <c r="O112" s="11"/>
      <c r="P112" s="7">
        <v>24400</v>
      </c>
      <c r="Q112" s="2"/>
      <c r="R112" s="6">
        <f t="shared" si="65"/>
        <v>8.3653973757803288E-3</v>
      </c>
      <c r="S112" s="2"/>
      <c r="T112" s="7">
        <v>24400</v>
      </c>
      <c r="U112" s="2"/>
      <c r="V112" s="6">
        <f t="shared" si="66"/>
        <v>5.5727534380919626E-3</v>
      </c>
      <c r="W112" s="2"/>
      <c r="X112" s="7">
        <f t="shared" si="67"/>
        <v>0</v>
      </c>
      <c r="Y112" s="2"/>
      <c r="Z112" s="6">
        <f t="shared" si="68"/>
        <v>0</v>
      </c>
    </row>
    <row r="113" spans="1:26" s="28" customFormat="1" outlineLevel="1" collapsed="1" x14ac:dyDescent="0.25">
      <c r="A113" s="29"/>
      <c r="B113" s="14" t="str">
        <f>CONCATENATE("     ","Repair and Maintenance                            ")</f>
        <v xml:space="preserve">     Repair and Maintenance                            </v>
      </c>
      <c r="C113" s="14"/>
      <c r="D113" s="1">
        <f>SUM(OSRRefD22_17x_0)</f>
        <v>12607.279999999999</v>
      </c>
      <c r="E113" s="1"/>
      <c r="F113" s="5">
        <f t="shared" si="61"/>
        <v>2.1877998515966428E-2</v>
      </c>
      <c r="G113" s="1"/>
      <c r="H113" s="1">
        <f>SUM(OSRRefH22_17x_0)</f>
        <v>10110</v>
      </c>
      <c r="I113" s="1"/>
      <c r="J113" s="5">
        <f t="shared" si="62"/>
        <v>2.3276856450175784E-2</v>
      </c>
      <c r="K113" s="1"/>
      <c r="L113" s="1">
        <f t="shared" si="63"/>
        <v>2497.2799999999988</v>
      </c>
      <c r="M113" s="1"/>
      <c r="N113" s="5">
        <f t="shared" si="64"/>
        <v>0.24701088031651819</v>
      </c>
      <c r="O113" s="14"/>
      <c r="P113" s="1">
        <f>SUM(OSRRefP22_17x_0)</f>
        <v>91822.26999999999</v>
      </c>
      <c r="Q113" s="1"/>
      <c r="R113" s="5">
        <f t="shared" si="65"/>
        <v>3.148072854492593E-2</v>
      </c>
      <c r="S113" s="1"/>
      <c r="T113" s="1">
        <f>SUM(OSRRefT22_17x_0)</f>
        <v>84611</v>
      </c>
      <c r="U113" s="1"/>
      <c r="V113" s="5">
        <f t="shared" si="66"/>
        <v>1.932443611272127E-2</v>
      </c>
      <c r="W113" s="1"/>
      <c r="X113" s="1">
        <f t="shared" si="67"/>
        <v>7211.2699999999895</v>
      </c>
      <c r="Y113" s="1"/>
      <c r="Z113" s="5">
        <f t="shared" si="68"/>
        <v>8.5228516386758102E-2</v>
      </c>
    </row>
    <row r="114" spans="1:26" s="24" customFormat="1" hidden="1" outlineLevel="2" x14ac:dyDescent="0.25">
      <c r="A114" s="27"/>
      <c r="B114" s="11" t="str">
        <f>CONCATENATE("          ", "6371", " - ", "COMPUTER SOFTWARE MAINTENANCE")</f>
        <v xml:space="preserve">          6371 - COMPUTER SOFTWARE MAINTENANCE</v>
      </c>
      <c r="C114" s="11"/>
      <c r="D114" s="7">
        <v>2887.5</v>
      </c>
      <c r="E114" s="2"/>
      <c r="F114" s="6">
        <f t="shared" si="61"/>
        <v>5.0108128569249727E-3</v>
      </c>
      <c r="G114" s="2"/>
      <c r="H114" s="7">
        <v>1100</v>
      </c>
      <c r="I114" s="2"/>
      <c r="J114" s="6">
        <f t="shared" si="62"/>
        <v>2.5325956572891557E-3</v>
      </c>
      <c r="K114" s="2"/>
      <c r="L114" s="7">
        <f t="shared" si="63"/>
        <v>1787.5</v>
      </c>
      <c r="M114" s="2"/>
      <c r="N114" s="6">
        <f t="shared" si="64"/>
        <v>1.625</v>
      </c>
      <c r="O114" s="11"/>
      <c r="P114" s="7">
        <v>62511</v>
      </c>
      <c r="Q114" s="2"/>
      <c r="R114" s="6">
        <f t="shared" si="65"/>
        <v>2.1431530957270659E-2</v>
      </c>
      <c r="S114" s="2"/>
      <c r="T114" s="7">
        <v>45723</v>
      </c>
      <c r="U114" s="2"/>
      <c r="V114" s="6">
        <f t="shared" si="66"/>
        <v>1.0442746124995033E-2</v>
      </c>
      <c r="W114" s="2"/>
      <c r="X114" s="7">
        <f t="shared" si="67"/>
        <v>16788</v>
      </c>
      <c r="Y114" s="2"/>
      <c r="Z114" s="6">
        <f t="shared" si="68"/>
        <v>0.36716750869365528</v>
      </c>
    </row>
    <row r="115" spans="1:26" s="24" customFormat="1" hidden="1" outlineLevel="2" x14ac:dyDescent="0.25">
      <c r="A115" s="27"/>
      <c r="B115" s="11" t="str">
        <f>CONCATENATE("          ", "6372", " - ", "COMPUTER HARDWARE MAINTENANCE")</f>
        <v xml:space="preserve">          6372 - COMPUTER HARDWARE MAINTENANCE</v>
      </c>
      <c r="C115" s="11"/>
      <c r="D115" s="7"/>
      <c r="E115" s="2"/>
      <c r="F115" s="6">
        <f t="shared" si="61"/>
        <v>0</v>
      </c>
      <c r="G115" s="2"/>
      <c r="H115" s="7">
        <v>3750</v>
      </c>
      <c r="I115" s="2"/>
      <c r="J115" s="6">
        <f t="shared" si="62"/>
        <v>8.6338488316675763E-3</v>
      </c>
      <c r="K115" s="2"/>
      <c r="L115" s="7">
        <f t="shared" si="63"/>
        <v>-3750</v>
      </c>
      <c r="M115" s="2"/>
      <c r="N115" s="6">
        <f t="shared" si="64"/>
        <v>-1</v>
      </c>
      <c r="O115" s="11"/>
      <c r="P115" s="7"/>
      <c r="Q115" s="2"/>
      <c r="R115" s="6">
        <f t="shared" si="65"/>
        <v>0</v>
      </c>
      <c r="S115" s="2"/>
      <c r="T115" s="7">
        <v>11620</v>
      </c>
      <c r="U115" s="2"/>
      <c r="V115" s="6">
        <f t="shared" si="66"/>
        <v>2.6539096291241229E-3</v>
      </c>
      <c r="W115" s="2"/>
      <c r="X115" s="7">
        <f t="shared" si="67"/>
        <v>-11620</v>
      </c>
      <c r="Y115" s="2"/>
      <c r="Z115" s="6">
        <f t="shared" si="68"/>
        <v>-1</v>
      </c>
    </row>
    <row r="116" spans="1:26" s="24" customFormat="1" hidden="1" outlineLevel="2" x14ac:dyDescent="0.25">
      <c r="A116" s="27"/>
      <c r="B116" s="11" t="str">
        <f>CONCATENATE("          ", "6373", " - ", "MAINTENANCE CONTRACTS")</f>
        <v xml:space="preserve">          6373 - MAINTENANCE CONTRACTS</v>
      </c>
      <c r="C116" s="11"/>
      <c r="D116" s="7">
        <v>3962.92</v>
      </c>
      <c r="E116" s="2"/>
      <c r="F116" s="6">
        <f t="shared" si="61"/>
        <v>6.8770391296848876E-3</v>
      </c>
      <c r="G116" s="2"/>
      <c r="H116" s="7">
        <v>5005</v>
      </c>
      <c r="I116" s="2"/>
      <c r="J116" s="6">
        <f t="shared" si="62"/>
        <v>1.1523310240665658E-2</v>
      </c>
      <c r="K116" s="2"/>
      <c r="L116" s="7">
        <f t="shared" si="63"/>
        <v>-1042.08</v>
      </c>
      <c r="M116" s="2"/>
      <c r="N116" s="6">
        <f t="shared" si="64"/>
        <v>-0.2082077922077922</v>
      </c>
      <c r="O116" s="11"/>
      <c r="P116" s="7">
        <v>12270.31</v>
      </c>
      <c r="Q116" s="2"/>
      <c r="R116" s="6">
        <f t="shared" si="65"/>
        <v>4.206804060410292E-3</v>
      </c>
      <c r="S116" s="2"/>
      <c r="T116" s="7">
        <v>24618</v>
      </c>
      <c r="U116" s="2"/>
      <c r="V116" s="6">
        <f t="shared" si="66"/>
        <v>5.6225427925798328E-3</v>
      </c>
      <c r="W116" s="2"/>
      <c r="X116" s="7">
        <f t="shared" si="67"/>
        <v>-12347.69</v>
      </c>
      <c r="Y116" s="2"/>
      <c r="Z116" s="6">
        <f t="shared" si="68"/>
        <v>-0.50157161426598429</v>
      </c>
    </row>
    <row r="117" spans="1:26" s="24" customFormat="1" hidden="1" outlineLevel="2" x14ac:dyDescent="0.25">
      <c r="A117" s="27"/>
      <c r="B117" s="11" t="str">
        <f>CONCATENATE("          ", "6375", " - ", "OUTSIDE REPAIRS &amp; MAINTENANCE")</f>
        <v xml:space="preserve">          6375 - OUTSIDE REPAIRS &amp; MAINTENANCE</v>
      </c>
      <c r="C117" s="11"/>
      <c r="D117" s="7">
        <v>5756.86</v>
      </c>
      <c r="E117" s="2"/>
      <c r="F117" s="6">
        <f t="shared" si="61"/>
        <v>9.9901465293565691E-3</v>
      </c>
      <c r="G117" s="2"/>
      <c r="H117" s="7">
        <v>255</v>
      </c>
      <c r="I117" s="2"/>
      <c r="J117" s="6">
        <f t="shared" si="62"/>
        <v>5.8710172055339519E-4</v>
      </c>
      <c r="K117" s="2"/>
      <c r="L117" s="7">
        <f t="shared" si="63"/>
        <v>5501.86</v>
      </c>
      <c r="M117" s="2"/>
      <c r="N117" s="6">
        <f t="shared" si="64"/>
        <v>21.57592156862745</v>
      </c>
      <c r="O117" s="11"/>
      <c r="P117" s="7">
        <v>17040.96</v>
      </c>
      <c r="Q117" s="2"/>
      <c r="R117" s="6">
        <f t="shared" si="65"/>
        <v>5.8423935272449807E-3</v>
      </c>
      <c r="S117" s="2"/>
      <c r="T117" s="7">
        <v>2650</v>
      </c>
      <c r="U117" s="2"/>
      <c r="V117" s="6">
        <f t="shared" si="66"/>
        <v>6.0523756602228276E-4</v>
      </c>
      <c r="W117" s="2"/>
      <c r="X117" s="7">
        <f t="shared" si="67"/>
        <v>14390.96</v>
      </c>
      <c r="Y117" s="2"/>
      <c r="Z117" s="6">
        <f t="shared" si="68"/>
        <v>5.4305509433962262</v>
      </c>
    </row>
    <row r="118" spans="1:26" s="28" customFormat="1" outlineLevel="1" collapsed="1" x14ac:dyDescent="0.25">
      <c r="A118" s="29"/>
      <c r="B118" s="14" t="str">
        <f>CONCATENATE("     ","Royalty &amp; Commissions                             ")</f>
        <v xml:space="preserve">     Royalty &amp; Commissions                             </v>
      </c>
      <c r="C118" s="14"/>
      <c r="D118" s="1">
        <f>SUM(OSRRefD22_18x_0)</f>
        <v>10709.72</v>
      </c>
      <c r="E118" s="1"/>
      <c r="F118" s="5">
        <f t="shared" ref="F118:F122" si="69">IF(D$12=0,0,D118/D$12)</f>
        <v>1.8585074517771954E-2</v>
      </c>
      <c r="G118" s="1"/>
      <c r="H118" s="1">
        <f>SUM(OSRRefH22_18x_0)</f>
        <v>13194</v>
      </c>
      <c r="I118" s="1"/>
      <c r="J118" s="5">
        <f t="shared" ref="J118:J122" si="70">IF(H$12=0,0,H118/H$12)</f>
        <v>3.03773337293392E-2</v>
      </c>
      <c r="K118" s="1"/>
      <c r="L118" s="1">
        <f t="shared" ref="L118:L122" si="71">+D118-H118</f>
        <v>-2484.2800000000007</v>
      </c>
      <c r="M118" s="1"/>
      <c r="N118" s="5">
        <f t="shared" ref="N118:N122" si="72">IF(H118=0,0,L118/H118)</f>
        <v>-0.18828861603759289</v>
      </c>
      <c r="O118" s="14"/>
      <c r="P118" s="1">
        <f>SUM(OSRRefP22_18x_0)</f>
        <v>19840.93</v>
      </c>
      <c r="Q118" s="1"/>
      <c r="R118" s="5">
        <f t="shared" ref="R118:R122" si="73">IF(P$12=0,0,P118/P$12)</f>
        <v>6.8023468752066059E-3</v>
      </c>
      <c r="S118" s="1"/>
      <c r="T118" s="1">
        <f>SUM(OSRRefT22_18x_0)</f>
        <v>34183</v>
      </c>
      <c r="U118" s="1"/>
      <c r="V118" s="5">
        <f t="shared" ref="V118:V122" si="74">IF(T$12=0,0,T118/T$12)</f>
        <v>7.8071078186187515E-3</v>
      </c>
      <c r="W118" s="1"/>
      <c r="X118" s="1">
        <f t="shared" ref="X118:X122" si="75">+P118-T118</f>
        <v>-14342.07</v>
      </c>
      <c r="Y118" s="1"/>
      <c r="Z118" s="5">
        <f t="shared" ref="Z118:Z122" si="76">IF(T118=0,0,X118/T118)</f>
        <v>-0.4195673287891642</v>
      </c>
    </row>
    <row r="119" spans="1:26" s="24" customFormat="1" hidden="1" outlineLevel="2" x14ac:dyDescent="0.25">
      <c r="A119" s="27"/>
      <c r="B119" s="11" t="str">
        <f>CONCATENATE("          ", "6252", " - ", "ROYALTY DUE CSTV")</f>
        <v xml:space="preserve">          6252 - ROYALTY DUE CSTV</v>
      </c>
      <c r="C119" s="11"/>
      <c r="D119" s="7"/>
      <c r="E119" s="2"/>
      <c r="F119" s="6">
        <f t="shared" si="69"/>
        <v>0</v>
      </c>
      <c r="G119" s="2"/>
      <c r="H119" s="7">
        <v>1122</v>
      </c>
      <c r="I119" s="2"/>
      <c r="J119" s="6">
        <f t="shared" si="70"/>
        <v>2.5832475704349388E-3</v>
      </c>
      <c r="K119" s="2"/>
      <c r="L119" s="7">
        <f t="shared" si="71"/>
        <v>-1122</v>
      </c>
      <c r="M119" s="2"/>
      <c r="N119" s="6">
        <f t="shared" si="72"/>
        <v>-1</v>
      </c>
      <c r="O119" s="11"/>
      <c r="P119" s="7"/>
      <c r="Q119" s="2"/>
      <c r="R119" s="6">
        <f t="shared" si="73"/>
        <v>0</v>
      </c>
      <c r="S119" s="2"/>
      <c r="T119" s="7">
        <v>5310</v>
      </c>
      <c r="U119" s="2"/>
      <c r="V119" s="6">
        <f t="shared" si="74"/>
        <v>1.2127590473880458E-3</v>
      </c>
      <c r="W119" s="2"/>
      <c r="X119" s="7">
        <f t="shared" si="75"/>
        <v>-5310</v>
      </c>
      <c r="Y119" s="2"/>
      <c r="Z119" s="6">
        <f t="shared" si="76"/>
        <v>-1</v>
      </c>
    </row>
    <row r="120" spans="1:26" s="24" customFormat="1" hidden="1" outlineLevel="2" x14ac:dyDescent="0.25">
      <c r="A120" s="27"/>
      <c r="B120" s="11" t="str">
        <f>CONCATENATE("          ", "6253", " - ", "ROYALTY DUE ATHLETICS-LRG")</f>
        <v xml:space="preserve">          6253 - ROYALTY DUE ATHLETICS-LRG</v>
      </c>
      <c r="C120" s="11"/>
      <c r="D120" s="7">
        <v>8783.75</v>
      </c>
      <c r="E120" s="2"/>
      <c r="F120" s="6">
        <f t="shared" si="69"/>
        <v>1.5242849327104667E-2</v>
      </c>
      <c r="G120" s="2"/>
      <c r="H120" s="7">
        <v>10490</v>
      </c>
      <c r="I120" s="2"/>
      <c r="J120" s="6">
        <f t="shared" si="70"/>
        <v>2.4151753131784765E-2</v>
      </c>
      <c r="K120" s="2"/>
      <c r="L120" s="7">
        <f t="shared" si="71"/>
        <v>-1706.25</v>
      </c>
      <c r="M120" s="2"/>
      <c r="N120" s="6">
        <f t="shared" si="72"/>
        <v>-0.16265490943755959</v>
      </c>
      <c r="O120" s="11"/>
      <c r="P120" s="7">
        <v>23160.29</v>
      </c>
      <c r="Q120" s="2"/>
      <c r="R120" s="6">
        <f t="shared" si="73"/>
        <v>7.9403700487012865E-3</v>
      </c>
      <c r="S120" s="2"/>
      <c r="T120" s="7">
        <v>16162</v>
      </c>
      <c r="U120" s="2"/>
      <c r="V120" s="6">
        <f t="shared" si="74"/>
        <v>3.6912639781328809E-3</v>
      </c>
      <c r="W120" s="2"/>
      <c r="X120" s="7">
        <f t="shared" si="75"/>
        <v>6998.2900000000009</v>
      </c>
      <c r="Y120" s="2"/>
      <c r="Z120" s="6">
        <f t="shared" si="76"/>
        <v>0.43300890978839257</v>
      </c>
    </row>
    <row r="121" spans="1:26" s="24" customFormat="1" hidden="1" outlineLevel="2" x14ac:dyDescent="0.25">
      <c r="A121" s="27"/>
      <c r="B121" s="11" t="str">
        <f>CONCATENATE("          ", "6254", " - ", "ROYALTY &amp; COMMISSIONS")</f>
        <v xml:space="preserve">          6254 - ROYALTY &amp; COMMISSIONS</v>
      </c>
      <c r="C121" s="11"/>
      <c r="D121" s="7"/>
      <c r="E121" s="2"/>
      <c r="F121" s="6">
        <f t="shared" si="69"/>
        <v>0</v>
      </c>
      <c r="G121" s="2"/>
      <c r="H121" s="7">
        <v>0</v>
      </c>
      <c r="I121" s="2"/>
      <c r="J121" s="6">
        <f t="shared" si="70"/>
        <v>0</v>
      </c>
      <c r="K121" s="2"/>
      <c r="L121" s="7">
        <f t="shared" si="71"/>
        <v>0</v>
      </c>
      <c r="M121" s="2"/>
      <c r="N121" s="6">
        <f t="shared" si="72"/>
        <v>0</v>
      </c>
      <c r="O121" s="11"/>
      <c r="P121" s="7">
        <v>-7027.5</v>
      </c>
      <c r="Q121" s="2"/>
      <c r="R121" s="6">
        <f t="shared" si="73"/>
        <v>-2.4093372974711581E-3</v>
      </c>
      <c r="S121" s="2"/>
      <c r="T121" s="7">
        <v>0</v>
      </c>
      <c r="U121" s="2"/>
      <c r="V121" s="6">
        <f t="shared" si="74"/>
        <v>0</v>
      </c>
      <c r="W121" s="2"/>
      <c r="X121" s="7">
        <f t="shared" si="75"/>
        <v>-7027.5</v>
      </c>
      <c r="Y121" s="2"/>
      <c r="Z121" s="6">
        <f t="shared" si="76"/>
        <v>0</v>
      </c>
    </row>
    <row r="122" spans="1:26" s="24" customFormat="1" hidden="1" outlineLevel="2" x14ac:dyDescent="0.25">
      <c r="A122" s="27"/>
      <c r="B122" s="11" t="str">
        <f>CONCATENATE("          ", "6259", " - ", "ROYALTY &amp; COMMISSIONS")</f>
        <v xml:space="preserve">          6259 - ROYALTY &amp; COMMISSIONS</v>
      </c>
      <c r="C122" s="11"/>
      <c r="D122" s="7">
        <v>1925.97</v>
      </c>
      <c r="E122" s="2"/>
      <c r="F122" s="6">
        <f t="shared" si="69"/>
        <v>3.3422251906672865E-3</v>
      </c>
      <c r="G122" s="2"/>
      <c r="H122" s="7">
        <v>1582</v>
      </c>
      <c r="I122" s="2"/>
      <c r="J122" s="6">
        <f t="shared" si="70"/>
        <v>3.6423330271194948E-3</v>
      </c>
      <c r="K122" s="2"/>
      <c r="L122" s="7">
        <f t="shared" si="71"/>
        <v>343.97</v>
      </c>
      <c r="M122" s="2"/>
      <c r="N122" s="6">
        <f t="shared" si="72"/>
        <v>0.21742730720606829</v>
      </c>
      <c r="O122" s="11"/>
      <c r="P122" s="7">
        <v>3708.14</v>
      </c>
      <c r="Q122" s="2"/>
      <c r="R122" s="6">
        <f t="shared" si="73"/>
        <v>1.2713141239764781E-3</v>
      </c>
      <c r="S122" s="2"/>
      <c r="T122" s="7">
        <v>12711</v>
      </c>
      <c r="U122" s="2"/>
      <c r="V122" s="6">
        <f t="shared" si="74"/>
        <v>2.903084793097825E-3</v>
      </c>
      <c r="W122" s="2"/>
      <c r="X122" s="7">
        <f t="shared" si="75"/>
        <v>-9002.86</v>
      </c>
      <c r="Y122" s="2"/>
      <c r="Z122" s="6">
        <f t="shared" si="76"/>
        <v>-0.70827314924081508</v>
      </c>
    </row>
    <row r="123" spans="1:26" s="28" customFormat="1" outlineLevel="1" collapsed="1" x14ac:dyDescent="0.25">
      <c r="A123" s="29"/>
      <c r="B123" s="14" t="str">
        <f>CONCATENATE("     ","Services                                          ")</f>
        <v xml:space="preserve">     Services                                          </v>
      </c>
      <c r="C123" s="14"/>
      <c r="D123" s="1">
        <f>SUM(OSRRefD22_19x_0)</f>
        <v>5834.37</v>
      </c>
      <c r="E123" s="1"/>
      <c r="F123" s="5">
        <f t="shared" ref="F123:F127" si="77">IF(D$12=0,0,D123/D$12)</f>
        <v>1.0124653232227655E-2</v>
      </c>
      <c r="G123" s="1"/>
      <c r="H123" s="1">
        <f>SUM(OSRRefH22_19x_0)</f>
        <v>4652</v>
      </c>
      <c r="I123" s="1"/>
      <c r="J123" s="5">
        <f t="shared" ref="J123:J127" si="78">IF(H$12=0,0,H123/H$12)</f>
        <v>1.0710577270644684E-2</v>
      </c>
      <c r="K123" s="1"/>
      <c r="L123" s="1">
        <f t="shared" ref="L123:L127" si="79">+D123-H123</f>
        <v>1182.3699999999999</v>
      </c>
      <c r="M123" s="1"/>
      <c r="N123" s="5">
        <f t="shared" ref="N123:N127" si="80">IF(H123=0,0,L123/H123)</f>
        <v>0.25416380051590709</v>
      </c>
      <c r="O123" s="14"/>
      <c r="P123" s="1">
        <f>SUM(OSRRefP22_19x_0)</f>
        <v>35407</v>
      </c>
      <c r="Q123" s="1"/>
      <c r="R123" s="5">
        <f t="shared" ref="R123:R127" si="81">IF(P$12=0,0,P123/P$12)</f>
        <v>1.2139082987059594E-2</v>
      </c>
      <c r="S123" s="1"/>
      <c r="T123" s="1">
        <f>SUM(OSRRefT22_19x_0)</f>
        <v>18385</v>
      </c>
      <c r="U123" s="1"/>
      <c r="V123" s="5">
        <f t="shared" ref="V123:V127" si="82">IF(T$12=0,0,T123/T$12)</f>
        <v>4.1989783589885541E-3</v>
      </c>
      <c r="W123" s="1"/>
      <c r="X123" s="1">
        <f t="shared" ref="X123:X127" si="83">+P123-T123</f>
        <v>17022</v>
      </c>
      <c r="Y123" s="1"/>
      <c r="Z123" s="5">
        <f t="shared" ref="Z123:Z127" si="84">IF(T123=0,0,X123/T123)</f>
        <v>0.925863475659505</v>
      </c>
    </row>
    <row r="124" spans="1:26" s="24" customFormat="1" hidden="1" outlineLevel="2" x14ac:dyDescent="0.25">
      <c r="A124" s="27"/>
      <c r="B124" s="11" t="str">
        <f>CONCATENATE("          ", "6282", " - ", "JANITORIAL/EXTERMINATOR EXPENS")</f>
        <v xml:space="preserve">          6282 - JANITORIAL/EXTERMINATOR EXPENS</v>
      </c>
      <c r="C124" s="11"/>
      <c r="D124" s="7">
        <v>1241.76</v>
      </c>
      <c r="E124" s="2"/>
      <c r="F124" s="6">
        <f t="shared" si="77"/>
        <v>2.1548838002476722E-3</v>
      </c>
      <c r="G124" s="2"/>
      <c r="H124" s="7">
        <v>4558</v>
      </c>
      <c r="I124" s="2"/>
      <c r="J124" s="6">
        <f t="shared" si="78"/>
        <v>1.0494155459930883E-2</v>
      </c>
      <c r="K124" s="2"/>
      <c r="L124" s="7">
        <f t="shared" si="79"/>
        <v>-3316.24</v>
      </c>
      <c r="M124" s="2"/>
      <c r="N124" s="6">
        <f t="shared" si="80"/>
        <v>-0.72756472136902151</v>
      </c>
      <c r="O124" s="11"/>
      <c r="P124" s="7">
        <v>3009.68</v>
      </c>
      <c r="Q124" s="2"/>
      <c r="R124" s="6">
        <f t="shared" si="81"/>
        <v>1.0318511956532187E-3</v>
      </c>
      <c r="S124" s="2"/>
      <c r="T124" s="7">
        <v>17974</v>
      </c>
      <c r="U124" s="2"/>
      <c r="V124" s="6">
        <f t="shared" si="82"/>
        <v>4.1051094383715136E-3</v>
      </c>
      <c r="W124" s="2"/>
      <c r="X124" s="7">
        <f t="shared" si="83"/>
        <v>-14964.32</v>
      </c>
      <c r="Y124" s="2"/>
      <c r="Z124" s="6">
        <f t="shared" si="84"/>
        <v>-0.83255368866139978</v>
      </c>
    </row>
    <row r="125" spans="1:26" s="24" customFormat="1" hidden="1" outlineLevel="2" x14ac:dyDescent="0.25">
      <c r="A125" s="27"/>
      <c r="B125" s="11" t="str">
        <f>CONCATENATE("          ", "6284", " - ", "TRASH REMOVAL EXPENSE")</f>
        <v xml:space="preserve">          6284 - TRASH REMOVAL EXPENSE</v>
      </c>
      <c r="C125" s="11"/>
      <c r="D125" s="7">
        <v>149.69999999999999</v>
      </c>
      <c r="E125" s="2"/>
      <c r="F125" s="6">
        <f t="shared" si="77"/>
        <v>2.5978136266031806E-4</v>
      </c>
      <c r="G125" s="2"/>
      <c r="H125" s="7">
        <v>60</v>
      </c>
      <c r="I125" s="2"/>
      <c r="J125" s="6">
        <f t="shared" si="78"/>
        <v>1.3814158130668122E-4</v>
      </c>
      <c r="K125" s="2"/>
      <c r="L125" s="7">
        <f t="shared" si="79"/>
        <v>89.699999999999989</v>
      </c>
      <c r="M125" s="2"/>
      <c r="N125" s="6">
        <f t="shared" si="80"/>
        <v>1.4949999999999999</v>
      </c>
      <c r="O125" s="11"/>
      <c r="P125" s="7">
        <v>591.66999999999996</v>
      </c>
      <c r="Q125" s="2"/>
      <c r="R125" s="6">
        <f t="shared" si="81"/>
        <v>2.028506010380306E-4</v>
      </c>
      <c r="S125" s="2"/>
      <c r="T125" s="7">
        <v>300</v>
      </c>
      <c r="U125" s="2"/>
      <c r="V125" s="6">
        <f t="shared" si="82"/>
        <v>6.851746030440937E-5</v>
      </c>
      <c r="W125" s="2"/>
      <c r="X125" s="7">
        <f t="shared" si="83"/>
        <v>291.66999999999996</v>
      </c>
      <c r="Y125" s="2"/>
      <c r="Z125" s="6">
        <f t="shared" si="84"/>
        <v>0.97223333333333317</v>
      </c>
    </row>
    <row r="126" spans="1:26" s="24" customFormat="1" hidden="1" outlineLevel="2" x14ac:dyDescent="0.25">
      <c r="A126" s="27"/>
      <c r="B126" s="11" t="str">
        <f>CONCATENATE("          ", "6285", " - ", "JANITORIAL SERVICES")</f>
        <v xml:space="preserve">          6285 - JANITORIAL SERVICES</v>
      </c>
      <c r="C126" s="11"/>
      <c r="D126" s="7">
        <v>4339.03</v>
      </c>
      <c r="E126" s="2"/>
      <c r="F126" s="6">
        <f t="shared" si="77"/>
        <v>7.529720280721441E-3</v>
      </c>
      <c r="G126" s="2"/>
      <c r="H126" s="7"/>
      <c r="I126" s="2"/>
      <c r="J126" s="6">
        <f t="shared" si="78"/>
        <v>0</v>
      </c>
      <c r="K126" s="2"/>
      <c r="L126" s="7">
        <f t="shared" si="79"/>
        <v>4339.03</v>
      </c>
      <c r="M126" s="2"/>
      <c r="N126" s="6">
        <f t="shared" si="80"/>
        <v>0</v>
      </c>
      <c r="O126" s="11"/>
      <c r="P126" s="7">
        <v>31597.89</v>
      </c>
      <c r="Q126" s="2"/>
      <c r="R126" s="6">
        <f t="shared" si="81"/>
        <v>1.0833151888778503E-2</v>
      </c>
      <c r="S126" s="2"/>
      <c r="T126" s="7"/>
      <c r="U126" s="2"/>
      <c r="V126" s="6">
        <f t="shared" si="82"/>
        <v>0</v>
      </c>
      <c r="W126" s="2"/>
      <c r="X126" s="7">
        <f t="shared" si="83"/>
        <v>31597.89</v>
      </c>
      <c r="Y126" s="2"/>
      <c r="Z126" s="6">
        <f t="shared" si="84"/>
        <v>0</v>
      </c>
    </row>
    <row r="127" spans="1:26" s="24" customFormat="1" hidden="1" outlineLevel="2" x14ac:dyDescent="0.25">
      <c r="A127" s="27"/>
      <c r="B127" s="11" t="str">
        <f>CONCATENATE("          ", "6286", " - ", "LAUNDRY EXPENSE")</f>
        <v xml:space="preserve">          6286 - LAUNDRY EXPENSE</v>
      </c>
      <c r="C127" s="11"/>
      <c r="D127" s="7">
        <v>103.88</v>
      </c>
      <c r="E127" s="2"/>
      <c r="F127" s="6">
        <f t="shared" si="77"/>
        <v>1.8026778859822203E-4</v>
      </c>
      <c r="G127" s="2"/>
      <c r="H127" s="7">
        <v>34</v>
      </c>
      <c r="I127" s="2"/>
      <c r="J127" s="6">
        <f t="shared" si="78"/>
        <v>7.8280229407119362E-5</v>
      </c>
      <c r="K127" s="2"/>
      <c r="L127" s="7">
        <f t="shared" si="79"/>
        <v>69.88</v>
      </c>
      <c r="M127" s="2"/>
      <c r="N127" s="6">
        <f t="shared" si="80"/>
        <v>2.0552941176470587</v>
      </c>
      <c r="O127" s="11"/>
      <c r="P127" s="7">
        <v>207.76</v>
      </c>
      <c r="Q127" s="2"/>
      <c r="R127" s="6">
        <f t="shared" si="81"/>
        <v>7.1229301589841024E-5</v>
      </c>
      <c r="S127" s="2"/>
      <c r="T127" s="7">
        <v>111</v>
      </c>
      <c r="U127" s="2"/>
      <c r="V127" s="6">
        <f t="shared" si="82"/>
        <v>2.5351460312631468E-5</v>
      </c>
      <c r="W127" s="2"/>
      <c r="X127" s="7">
        <f t="shared" si="83"/>
        <v>96.759999999999991</v>
      </c>
      <c r="Y127" s="2"/>
      <c r="Z127" s="6">
        <f t="shared" si="84"/>
        <v>0.87171171171171158</v>
      </c>
    </row>
    <row r="128" spans="1:26" s="28" customFormat="1" outlineLevel="1" collapsed="1" x14ac:dyDescent="0.25">
      <c r="A128" s="29"/>
      <c r="B128" s="14" t="str">
        <f>CONCATENATE("     ","Subscriptions &amp; Dues                              ")</f>
        <v xml:space="preserve">     Subscriptions &amp; Dues                              </v>
      </c>
      <c r="C128" s="14"/>
      <c r="D128" s="1">
        <f>SUM(OSRRefD22_20x_0)</f>
        <v>904.08</v>
      </c>
      <c r="E128" s="1"/>
      <c r="F128" s="5">
        <f t="shared" ref="F128:F130" si="85">IF(D$12=0,0,D128/D$12)</f>
        <v>1.5688920130523738E-3</v>
      </c>
      <c r="G128" s="1"/>
      <c r="H128" s="1">
        <f>SUM(OSRRefH22_20x_0)</f>
        <v>1361</v>
      </c>
      <c r="I128" s="1"/>
      <c r="J128" s="5">
        <f t="shared" ref="J128:J130" si="86">IF(H$12=0,0,H128/H$12)</f>
        <v>3.1335115359732188E-3</v>
      </c>
      <c r="K128" s="1"/>
      <c r="L128" s="1">
        <f t="shared" ref="L128:L130" si="87">+D128-H128</f>
        <v>-456.91999999999996</v>
      </c>
      <c r="M128" s="1"/>
      <c r="N128" s="5">
        <f t="shared" ref="N128:N130" si="88">IF(H128=0,0,L128/H128)</f>
        <v>-0.33572373254959587</v>
      </c>
      <c r="O128" s="14"/>
      <c r="P128" s="1">
        <f>SUM(OSRRefP22_20x_0)</f>
        <v>956.84</v>
      </c>
      <c r="Q128" s="1"/>
      <c r="R128" s="5">
        <f t="shared" ref="R128:R130" si="89">IF(P$12=0,0,P128/P$12)</f>
        <v>3.2804700102629709E-4</v>
      </c>
      <c r="S128" s="1"/>
      <c r="T128" s="1">
        <f>SUM(OSRRefT22_20x_0)</f>
        <v>4879</v>
      </c>
      <c r="U128" s="1"/>
      <c r="V128" s="5">
        <f t="shared" ref="V128:V130" si="90">IF(T$12=0,0,T128/T$12)</f>
        <v>1.1143222960840445E-3</v>
      </c>
      <c r="W128" s="1"/>
      <c r="X128" s="1">
        <f t="shared" ref="X128:X130" si="91">+P128-T128</f>
        <v>-3922.16</v>
      </c>
      <c r="Y128" s="1"/>
      <c r="Z128" s="5">
        <f t="shared" ref="Z128:Z130" si="92">IF(T128=0,0,X128/T128)</f>
        <v>-0.80388604222176674</v>
      </c>
    </row>
    <row r="129" spans="1:26" s="24" customFormat="1" hidden="1" outlineLevel="2" x14ac:dyDescent="0.25">
      <c r="A129" s="27"/>
      <c r="B129" s="11" t="str">
        <f>CONCATENATE("          ", "6258", " - ", "MEMBERSHIP DUES")</f>
        <v xml:space="preserve">          6258 - MEMBERSHIP DUES</v>
      </c>
      <c r="C129" s="11"/>
      <c r="D129" s="7">
        <v>904.08</v>
      </c>
      <c r="E129" s="2"/>
      <c r="F129" s="6">
        <f t="shared" si="85"/>
        <v>1.5688920130523738E-3</v>
      </c>
      <c r="G129" s="2"/>
      <c r="H129" s="7">
        <v>1300</v>
      </c>
      <c r="I129" s="2"/>
      <c r="J129" s="6">
        <f t="shared" si="86"/>
        <v>2.9930675949780931E-3</v>
      </c>
      <c r="K129" s="2"/>
      <c r="L129" s="7">
        <f t="shared" si="87"/>
        <v>-395.91999999999996</v>
      </c>
      <c r="M129" s="2"/>
      <c r="N129" s="6">
        <f t="shared" si="88"/>
        <v>-0.30455384615384612</v>
      </c>
      <c r="O129" s="11"/>
      <c r="P129" s="7">
        <v>956.84</v>
      </c>
      <c r="Q129" s="2"/>
      <c r="R129" s="6">
        <f t="shared" si="89"/>
        <v>3.2804700102629709E-4</v>
      </c>
      <c r="S129" s="2"/>
      <c r="T129" s="7">
        <v>4595</v>
      </c>
      <c r="U129" s="2"/>
      <c r="V129" s="6">
        <f t="shared" si="90"/>
        <v>1.0494591003292035E-3</v>
      </c>
      <c r="W129" s="2"/>
      <c r="X129" s="7">
        <f t="shared" si="91"/>
        <v>-3638.16</v>
      </c>
      <c r="Y129" s="2"/>
      <c r="Z129" s="6">
        <f t="shared" si="92"/>
        <v>-0.79176496191512513</v>
      </c>
    </row>
    <row r="130" spans="1:26" s="24" customFormat="1" hidden="1" outlineLevel="2" x14ac:dyDescent="0.25">
      <c r="A130" s="27"/>
      <c r="B130" s="11" t="str">
        <f>CONCATENATE("          ", "6275", " - ", "SUBSCRIPTIONS")</f>
        <v xml:space="preserve">          6275 - SUBSCRIPTIONS</v>
      </c>
      <c r="C130" s="11"/>
      <c r="D130" s="7"/>
      <c r="E130" s="2"/>
      <c r="F130" s="6">
        <f t="shared" si="85"/>
        <v>0</v>
      </c>
      <c r="G130" s="2"/>
      <c r="H130" s="7">
        <v>61</v>
      </c>
      <c r="I130" s="2"/>
      <c r="J130" s="6">
        <f t="shared" si="86"/>
        <v>1.4044394099512589E-4</v>
      </c>
      <c r="K130" s="2"/>
      <c r="L130" s="7">
        <f t="shared" si="87"/>
        <v>-61</v>
      </c>
      <c r="M130" s="2"/>
      <c r="N130" s="6">
        <f t="shared" si="88"/>
        <v>-1</v>
      </c>
      <c r="O130" s="11"/>
      <c r="P130" s="7"/>
      <c r="Q130" s="2"/>
      <c r="R130" s="6">
        <f t="shared" si="89"/>
        <v>0</v>
      </c>
      <c r="S130" s="2"/>
      <c r="T130" s="7">
        <v>284</v>
      </c>
      <c r="U130" s="2"/>
      <c r="V130" s="6">
        <f t="shared" si="90"/>
        <v>6.4863195754840877E-5</v>
      </c>
      <c r="W130" s="2"/>
      <c r="X130" s="7">
        <f t="shared" si="91"/>
        <v>-284</v>
      </c>
      <c r="Y130" s="2"/>
      <c r="Z130" s="6">
        <f t="shared" si="92"/>
        <v>-1</v>
      </c>
    </row>
    <row r="131" spans="1:26" s="28" customFormat="1" outlineLevel="1" collapsed="1" x14ac:dyDescent="0.25">
      <c r="A131" s="29"/>
      <c r="B131" s="14" t="str">
        <f>CONCATENATE("     ","Supplies                                          ")</f>
        <v xml:space="preserve">     Supplies                                          </v>
      </c>
      <c r="C131" s="14"/>
      <c r="D131" s="1">
        <f>SUM(OSRRefD22_21x_0)</f>
        <v>13688.72</v>
      </c>
      <c r="E131" s="1"/>
      <c r="F131" s="5">
        <f t="shared" ref="F131:F138" si="93">IF(D$12=0,0,D131/D$12)</f>
        <v>2.3754671574318962E-2</v>
      </c>
      <c r="G131" s="1"/>
      <c r="H131" s="1">
        <f>SUM(OSRRefH22_21x_0)</f>
        <v>13730</v>
      </c>
      <c r="I131" s="1"/>
      <c r="J131" s="5">
        <f t="shared" ref="J131:J138" si="94">IF(H$12=0,0,H131/H$12)</f>
        <v>3.1611398522345555E-2</v>
      </c>
      <c r="K131" s="1"/>
      <c r="L131" s="1">
        <f t="shared" ref="L131:L138" si="95">+D131-H131</f>
        <v>-41.280000000000655</v>
      </c>
      <c r="M131" s="1"/>
      <c r="N131" s="5">
        <f t="shared" ref="N131:N138" si="96">IF(H131=0,0,L131/H131)</f>
        <v>-3.006554989075066E-3</v>
      </c>
      <c r="O131" s="14"/>
      <c r="P131" s="1">
        <f>SUM(OSRRefP22_21x_0)</f>
        <v>42295.15</v>
      </c>
      <c r="Q131" s="1"/>
      <c r="R131" s="5">
        <f t="shared" ref="R131:R138" si="97">IF(P$12=0,0,P131/P$12)</f>
        <v>1.4500644951567023E-2</v>
      </c>
      <c r="S131" s="1"/>
      <c r="T131" s="1">
        <f>SUM(OSRRefT22_21x_0)</f>
        <v>52170</v>
      </c>
      <c r="U131" s="1"/>
      <c r="V131" s="5">
        <f t="shared" ref="V131:V138" si="98">IF(T$12=0,0,T131/T$12)</f>
        <v>1.191518634693679E-2</v>
      </c>
      <c r="W131" s="1"/>
      <c r="X131" s="1">
        <f t="shared" ref="X131:X138" si="99">+P131-T131</f>
        <v>-9874.8499999999985</v>
      </c>
      <c r="Y131" s="1"/>
      <c r="Z131" s="5">
        <f t="shared" ref="Z131:Z138" si="100">IF(T131=0,0,X131/T131)</f>
        <v>-0.18928215449492042</v>
      </c>
    </row>
    <row r="132" spans="1:26" s="24" customFormat="1" hidden="1" outlineLevel="2" x14ac:dyDescent="0.25">
      <c r="A132" s="27"/>
      <c r="B132" s="11" t="str">
        <f>CONCATENATE("          ", "6234", " - ", "EXPENDABLE SUPPLIES &amp; EQUIPMEN")</f>
        <v xml:space="preserve">          6234 - EXPENDABLE SUPPLIES &amp; EQUIPMEN</v>
      </c>
      <c r="C132" s="11"/>
      <c r="D132" s="7">
        <v>3737.3</v>
      </c>
      <c r="E132" s="2"/>
      <c r="F132" s="6">
        <f t="shared" si="93"/>
        <v>6.4855102649993765E-3</v>
      </c>
      <c r="G132" s="2"/>
      <c r="H132" s="7">
        <v>350</v>
      </c>
      <c r="I132" s="2"/>
      <c r="J132" s="6">
        <f t="shared" si="94"/>
        <v>8.0582589095564046E-4</v>
      </c>
      <c r="K132" s="2"/>
      <c r="L132" s="7">
        <f t="shared" si="95"/>
        <v>3387.3</v>
      </c>
      <c r="M132" s="2"/>
      <c r="N132" s="6">
        <f t="shared" si="96"/>
        <v>9.6780000000000008</v>
      </c>
      <c r="O132" s="11"/>
      <c r="P132" s="7">
        <v>3737.3</v>
      </c>
      <c r="Q132" s="2"/>
      <c r="R132" s="6">
        <f t="shared" si="97"/>
        <v>1.2813114595288451E-3</v>
      </c>
      <c r="S132" s="2"/>
      <c r="T132" s="7">
        <v>900</v>
      </c>
      <c r="U132" s="2"/>
      <c r="V132" s="6">
        <f t="shared" si="98"/>
        <v>2.0555238091322811E-4</v>
      </c>
      <c r="W132" s="2"/>
      <c r="X132" s="7">
        <f t="shared" si="99"/>
        <v>2837.3</v>
      </c>
      <c r="Y132" s="2"/>
      <c r="Z132" s="6">
        <f t="shared" si="100"/>
        <v>3.1525555555555558</v>
      </c>
    </row>
    <row r="133" spans="1:26" s="24" customFormat="1" hidden="1" outlineLevel="2" x14ac:dyDescent="0.25">
      <c r="A133" s="27"/>
      <c r="B133" s="11" t="str">
        <f>CONCATENATE("          ", "6235", " - ", "COVID-19 EXPENSES")</f>
        <v xml:space="preserve">          6235 - COVID-19 EXPENSES</v>
      </c>
      <c r="C133" s="11"/>
      <c r="D133" s="7"/>
      <c r="E133" s="2"/>
      <c r="F133" s="6">
        <f t="shared" si="93"/>
        <v>0</v>
      </c>
      <c r="G133" s="2"/>
      <c r="H133" s="7">
        <v>125</v>
      </c>
      <c r="I133" s="2"/>
      <c r="J133" s="6">
        <f t="shared" si="94"/>
        <v>2.8779496105558588E-4</v>
      </c>
      <c r="K133" s="2"/>
      <c r="L133" s="7">
        <f t="shared" si="95"/>
        <v>-125</v>
      </c>
      <c r="M133" s="2"/>
      <c r="N133" s="6">
        <f t="shared" si="96"/>
        <v>-1</v>
      </c>
      <c r="O133" s="11"/>
      <c r="P133" s="7">
        <v>3430.32</v>
      </c>
      <c r="Q133" s="2"/>
      <c r="R133" s="6">
        <f t="shared" si="97"/>
        <v>1.1760651609051959E-3</v>
      </c>
      <c r="S133" s="2"/>
      <c r="T133" s="7">
        <v>500</v>
      </c>
      <c r="U133" s="2"/>
      <c r="V133" s="6">
        <f t="shared" si="98"/>
        <v>1.1419576717401563E-4</v>
      </c>
      <c r="W133" s="2"/>
      <c r="X133" s="7">
        <f t="shared" si="99"/>
        <v>2930.32</v>
      </c>
      <c r="Y133" s="2"/>
      <c r="Z133" s="6">
        <f t="shared" si="100"/>
        <v>5.8606400000000001</v>
      </c>
    </row>
    <row r="134" spans="1:26" s="24" customFormat="1" hidden="1" outlineLevel="2" x14ac:dyDescent="0.25">
      <c r="A134" s="27"/>
      <c r="B134" s="11" t="str">
        <f>CONCATENATE("          ", "6237", " - ", "JANITORIAL SUPPLIES")</f>
        <v xml:space="preserve">          6237 - JANITORIAL SUPPLIES</v>
      </c>
      <c r="C134" s="11"/>
      <c r="D134" s="7">
        <v>1303.78</v>
      </c>
      <c r="E134" s="2"/>
      <c r="F134" s="6">
        <f t="shared" si="93"/>
        <v>2.2625099867018667E-3</v>
      </c>
      <c r="G134" s="2"/>
      <c r="H134" s="7">
        <v>60</v>
      </c>
      <c r="I134" s="2"/>
      <c r="J134" s="6">
        <f t="shared" si="94"/>
        <v>1.3814158130668122E-4</v>
      </c>
      <c r="K134" s="2"/>
      <c r="L134" s="7">
        <f t="shared" si="95"/>
        <v>1243.78</v>
      </c>
      <c r="M134" s="2"/>
      <c r="N134" s="6">
        <f t="shared" si="96"/>
        <v>20.729666666666667</v>
      </c>
      <c r="O134" s="11"/>
      <c r="P134" s="7">
        <v>3903.65</v>
      </c>
      <c r="Q134" s="2"/>
      <c r="R134" s="6">
        <f t="shared" si="97"/>
        <v>1.3383435846706917E-3</v>
      </c>
      <c r="S134" s="2"/>
      <c r="T134" s="7">
        <v>180</v>
      </c>
      <c r="U134" s="2"/>
      <c r="V134" s="6">
        <f t="shared" si="98"/>
        <v>4.1110476182645626E-5</v>
      </c>
      <c r="W134" s="2"/>
      <c r="X134" s="7">
        <f t="shared" si="99"/>
        <v>3723.65</v>
      </c>
      <c r="Y134" s="2"/>
      <c r="Z134" s="6">
        <f t="shared" si="100"/>
        <v>20.686944444444446</v>
      </c>
    </row>
    <row r="135" spans="1:26" s="24" customFormat="1" hidden="1" outlineLevel="2" x14ac:dyDescent="0.25">
      <c r="A135" s="27"/>
      <c r="B135" s="11" t="str">
        <f>CONCATENATE("          ", "6241", " - ", "OFFICE EXPENSE")</f>
        <v xml:space="preserve">          6241 - OFFICE EXPENSE</v>
      </c>
      <c r="C135" s="11"/>
      <c r="D135" s="7">
        <v>1032.81</v>
      </c>
      <c r="E135" s="2"/>
      <c r="F135" s="6">
        <f t="shared" si="93"/>
        <v>1.7922831607829197E-3</v>
      </c>
      <c r="G135" s="2"/>
      <c r="H135" s="7">
        <v>470</v>
      </c>
      <c r="I135" s="2"/>
      <c r="J135" s="6">
        <f t="shared" si="94"/>
        <v>1.0821090535690029E-3</v>
      </c>
      <c r="K135" s="2"/>
      <c r="L135" s="7">
        <f t="shared" si="95"/>
        <v>562.80999999999995</v>
      </c>
      <c r="M135" s="2"/>
      <c r="N135" s="6">
        <f t="shared" si="96"/>
        <v>1.1974680851063828</v>
      </c>
      <c r="O135" s="11"/>
      <c r="P135" s="7">
        <v>7206.7</v>
      </c>
      <c r="Q135" s="2"/>
      <c r="R135" s="6">
        <f t="shared" si="97"/>
        <v>2.4707749700014791E-3</v>
      </c>
      <c r="S135" s="2"/>
      <c r="T135" s="7">
        <v>2180</v>
      </c>
      <c r="U135" s="2"/>
      <c r="V135" s="6">
        <f t="shared" si="98"/>
        <v>4.9789354487870814E-4</v>
      </c>
      <c r="W135" s="2"/>
      <c r="X135" s="7">
        <f t="shared" si="99"/>
        <v>5026.7</v>
      </c>
      <c r="Y135" s="2"/>
      <c r="Z135" s="6">
        <f t="shared" si="100"/>
        <v>2.3058256880733943</v>
      </c>
    </row>
    <row r="136" spans="1:26" s="24" customFormat="1" hidden="1" outlineLevel="2" x14ac:dyDescent="0.25">
      <c r="A136" s="27"/>
      <c r="B136" s="11" t="str">
        <f>CONCATENATE("          ", "6243", " - ", "PAPER SUPPLIES")</f>
        <v xml:space="preserve">          6243 - PAPER SUPPLIES</v>
      </c>
      <c r="C136" s="11"/>
      <c r="D136" s="7">
        <v>735.87</v>
      </c>
      <c r="E136" s="2"/>
      <c r="F136" s="6">
        <f t="shared" si="93"/>
        <v>1.2769893877144171E-3</v>
      </c>
      <c r="G136" s="2"/>
      <c r="H136" s="7">
        <v>3700</v>
      </c>
      <c r="I136" s="2"/>
      <c r="J136" s="6">
        <f t="shared" si="94"/>
        <v>8.518730847245342E-3</v>
      </c>
      <c r="K136" s="2"/>
      <c r="L136" s="7">
        <f t="shared" si="95"/>
        <v>-2964.13</v>
      </c>
      <c r="M136" s="2"/>
      <c r="N136" s="6">
        <f t="shared" si="96"/>
        <v>-0.8011162162162162</v>
      </c>
      <c r="O136" s="11"/>
      <c r="P136" s="7">
        <v>4186.79</v>
      </c>
      <c r="Q136" s="2"/>
      <c r="R136" s="6">
        <f t="shared" si="97"/>
        <v>1.435416478645218E-3</v>
      </c>
      <c r="S136" s="2"/>
      <c r="T136" s="7">
        <v>16700</v>
      </c>
      <c r="U136" s="2"/>
      <c r="V136" s="6">
        <f t="shared" si="98"/>
        <v>3.8141386236121219E-3</v>
      </c>
      <c r="W136" s="2"/>
      <c r="X136" s="7">
        <f t="shared" si="99"/>
        <v>-12513.21</v>
      </c>
      <c r="Y136" s="2"/>
      <c r="Z136" s="6">
        <f t="shared" si="100"/>
        <v>-0.74929401197604784</v>
      </c>
    </row>
    <row r="137" spans="1:26" s="24" customFormat="1" hidden="1" outlineLevel="2" x14ac:dyDescent="0.25">
      <c r="A137" s="27"/>
      <c r="B137" s="11" t="str">
        <f>CONCATENATE("          ", "6245", " - ", "PRINTING")</f>
        <v xml:space="preserve">          6245 - PRINTING</v>
      </c>
      <c r="C137" s="11"/>
      <c r="D137" s="7">
        <v>296.68</v>
      </c>
      <c r="E137" s="2"/>
      <c r="F137" s="6">
        <f t="shared" si="93"/>
        <v>5.148425829930739E-4</v>
      </c>
      <c r="G137" s="2"/>
      <c r="H137" s="7">
        <v>250</v>
      </c>
      <c r="I137" s="2"/>
      <c r="J137" s="6">
        <f t="shared" si="94"/>
        <v>5.7558992211117176E-4</v>
      </c>
      <c r="K137" s="2"/>
      <c r="L137" s="7">
        <f t="shared" si="95"/>
        <v>46.680000000000007</v>
      </c>
      <c r="M137" s="2"/>
      <c r="N137" s="6">
        <f t="shared" si="96"/>
        <v>0.18672000000000002</v>
      </c>
      <c r="O137" s="11"/>
      <c r="P137" s="7">
        <v>-27.07</v>
      </c>
      <c r="Q137" s="2"/>
      <c r="R137" s="6">
        <f t="shared" si="97"/>
        <v>-9.2807912689497334E-6</v>
      </c>
      <c r="S137" s="2"/>
      <c r="T137" s="7">
        <v>1905</v>
      </c>
      <c r="U137" s="2"/>
      <c r="V137" s="6">
        <f t="shared" si="98"/>
        <v>4.3508587293299953E-4</v>
      </c>
      <c r="W137" s="2"/>
      <c r="X137" s="7">
        <f t="shared" si="99"/>
        <v>-1932.07</v>
      </c>
      <c r="Y137" s="2"/>
      <c r="Z137" s="6">
        <f t="shared" si="100"/>
        <v>-1.0142099737532808</v>
      </c>
    </row>
    <row r="138" spans="1:26" s="24" customFormat="1" hidden="1" outlineLevel="2" x14ac:dyDescent="0.25">
      <c r="A138" s="27"/>
      <c r="B138" s="11" t="str">
        <f>CONCATENATE("          ", "6247", " - ", "STORE SUPPLIES")</f>
        <v xml:space="preserve">          6247 - STORE SUPPLIES</v>
      </c>
      <c r="C138" s="11"/>
      <c r="D138" s="7">
        <v>6582.28</v>
      </c>
      <c r="E138" s="2"/>
      <c r="F138" s="6">
        <f t="shared" si="93"/>
        <v>1.1422536191127309E-2</v>
      </c>
      <c r="G138" s="2"/>
      <c r="H138" s="7">
        <v>8775</v>
      </c>
      <c r="I138" s="2"/>
      <c r="J138" s="6">
        <f t="shared" si="94"/>
        <v>2.0203206266102128E-2</v>
      </c>
      <c r="K138" s="2"/>
      <c r="L138" s="7">
        <f t="shared" si="95"/>
        <v>-2192.7200000000003</v>
      </c>
      <c r="M138" s="2"/>
      <c r="N138" s="6">
        <f t="shared" si="96"/>
        <v>-0.2498826210826211</v>
      </c>
      <c r="O138" s="11"/>
      <c r="P138" s="7">
        <v>19857.46</v>
      </c>
      <c r="Q138" s="2"/>
      <c r="R138" s="6">
        <f t="shared" si="97"/>
        <v>6.8080140890845421E-3</v>
      </c>
      <c r="S138" s="2"/>
      <c r="T138" s="7">
        <v>29805</v>
      </c>
      <c r="U138" s="2"/>
      <c r="V138" s="6">
        <f t="shared" si="98"/>
        <v>6.8072096812430713E-3</v>
      </c>
      <c r="W138" s="2"/>
      <c r="X138" s="7">
        <f t="shared" si="99"/>
        <v>-9947.5400000000009</v>
      </c>
      <c r="Y138" s="2"/>
      <c r="Z138" s="6">
        <f t="shared" si="100"/>
        <v>-0.33375406810937763</v>
      </c>
    </row>
    <row r="139" spans="1:26" s="28" customFormat="1" outlineLevel="1" collapsed="1" x14ac:dyDescent="0.25">
      <c r="A139" s="29"/>
      <c r="B139" s="14" t="str">
        <f>CONCATENATE("     ","Telephone/Data Lines                              ")</f>
        <v xml:space="preserve">     Telephone/Data Lines                              </v>
      </c>
      <c r="C139" s="14"/>
      <c r="D139" s="1">
        <f>SUM(OSRRefD22_22x_0)</f>
        <v>2257.39</v>
      </c>
      <c r="E139" s="1"/>
      <c r="F139" s="5">
        <f t="shared" ref="F139:F141" si="101">IF(D$12=0,0,D139/D$12)</f>
        <v>3.9173537091234155E-3</v>
      </c>
      <c r="G139" s="1"/>
      <c r="H139" s="1">
        <f>SUM(OSRRefH22_22x_0)</f>
        <v>1913</v>
      </c>
      <c r="I139" s="1"/>
      <c r="J139" s="5">
        <f t="shared" ref="J139:J141" si="102">IF(H$12=0,0,H139/H$12)</f>
        <v>4.4044140839946859E-3</v>
      </c>
      <c r="K139" s="1"/>
      <c r="L139" s="1">
        <f t="shared" ref="L139:L141" si="103">+D139-H139</f>
        <v>344.38999999999987</v>
      </c>
      <c r="M139" s="1"/>
      <c r="N139" s="5">
        <f t="shared" ref="N139:N141" si="104">IF(H139=0,0,L139/H139)</f>
        <v>0.18002613695765807</v>
      </c>
      <c r="O139" s="14"/>
      <c r="P139" s="1">
        <f>SUM(OSRRefP22_22x_0)</f>
        <v>8120.71</v>
      </c>
      <c r="Q139" s="1"/>
      <c r="R139" s="5">
        <f t="shared" ref="R139:R141" si="105">IF(P$12=0,0,P139/P$12)</f>
        <v>2.7841379558800439E-3</v>
      </c>
      <c r="S139" s="1"/>
      <c r="T139" s="1">
        <f>SUM(OSRRefT22_22x_0)</f>
        <v>8002</v>
      </c>
      <c r="U139" s="1"/>
      <c r="V139" s="5">
        <f t="shared" ref="V139:V141" si="106">IF(T$12=0,0,T139/T$12)</f>
        <v>1.8275890578529461E-3</v>
      </c>
      <c r="W139" s="1"/>
      <c r="X139" s="1">
        <f t="shared" ref="X139:X141" si="107">+P139-T139</f>
        <v>118.71000000000004</v>
      </c>
      <c r="Y139" s="1"/>
      <c r="Z139" s="5">
        <f t="shared" ref="Z139:Z141" si="108">IF(T139=0,0,X139/T139)</f>
        <v>1.4835041239690082E-2</v>
      </c>
    </row>
    <row r="140" spans="1:26" s="24" customFormat="1" hidden="1" outlineLevel="2" x14ac:dyDescent="0.25">
      <c r="A140" s="27"/>
      <c r="B140" s="11" t="str">
        <f>CONCATENATE("          ", "6303", " - ", "DATA PHONE LINES")</f>
        <v xml:space="preserve">          6303 - DATA PHONE LINES</v>
      </c>
      <c r="C140" s="11"/>
      <c r="D140" s="7"/>
      <c r="E140" s="2"/>
      <c r="F140" s="6">
        <f t="shared" si="101"/>
        <v>0</v>
      </c>
      <c r="G140" s="2"/>
      <c r="H140" s="7">
        <v>50</v>
      </c>
      <c r="I140" s="2"/>
      <c r="J140" s="6">
        <f t="shared" si="102"/>
        <v>1.1511798442223435E-4</v>
      </c>
      <c r="K140" s="2"/>
      <c r="L140" s="7">
        <f t="shared" si="103"/>
        <v>-50</v>
      </c>
      <c r="M140" s="2"/>
      <c r="N140" s="6">
        <f t="shared" si="104"/>
        <v>-1</v>
      </c>
      <c r="O140" s="11"/>
      <c r="P140" s="7">
        <v>295</v>
      </c>
      <c r="Q140" s="2"/>
      <c r="R140" s="6">
        <f t="shared" si="105"/>
        <v>1.0113902564980315E-4</v>
      </c>
      <c r="S140" s="2"/>
      <c r="T140" s="7">
        <v>200</v>
      </c>
      <c r="U140" s="2"/>
      <c r="V140" s="6">
        <f t="shared" si="106"/>
        <v>4.5678306869606249E-5</v>
      </c>
      <c r="W140" s="2"/>
      <c r="X140" s="7">
        <f t="shared" si="107"/>
        <v>95</v>
      </c>
      <c r="Y140" s="2"/>
      <c r="Z140" s="6">
        <f t="shared" si="108"/>
        <v>0.47499999999999998</v>
      </c>
    </row>
    <row r="141" spans="1:26" s="24" customFormat="1" hidden="1" outlineLevel="2" x14ac:dyDescent="0.25">
      <c r="A141" s="27"/>
      <c r="B141" s="11" t="str">
        <f>CONCATENATE("          ", "6309", " - ", "TELEPHONE")</f>
        <v xml:space="preserve">          6309 - TELEPHONE</v>
      </c>
      <c r="C141" s="11"/>
      <c r="D141" s="7">
        <v>2257.39</v>
      </c>
      <c r="E141" s="2"/>
      <c r="F141" s="6">
        <f t="shared" si="101"/>
        <v>3.9173537091234155E-3</v>
      </c>
      <c r="G141" s="2"/>
      <c r="H141" s="7">
        <v>1863</v>
      </c>
      <c r="I141" s="2"/>
      <c r="J141" s="6">
        <f t="shared" si="102"/>
        <v>4.2892960995724516E-3</v>
      </c>
      <c r="K141" s="2"/>
      <c r="L141" s="7">
        <f t="shared" si="103"/>
        <v>394.38999999999987</v>
      </c>
      <c r="M141" s="2"/>
      <c r="N141" s="6">
        <f t="shared" si="104"/>
        <v>0.2116961889425657</v>
      </c>
      <c r="O141" s="11"/>
      <c r="P141" s="7">
        <v>7825.71</v>
      </c>
      <c r="Q141" s="2"/>
      <c r="R141" s="6">
        <f t="shared" si="105"/>
        <v>2.6829989302302407E-3</v>
      </c>
      <c r="S141" s="2"/>
      <c r="T141" s="7">
        <v>7802</v>
      </c>
      <c r="U141" s="2"/>
      <c r="V141" s="6">
        <f t="shared" si="106"/>
        <v>1.7819107509833398E-3</v>
      </c>
      <c r="W141" s="2"/>
      <c r="X141" s="7">
        <f t="shared" si="107"/>
        <v>23.710000000000036</v>
      </c>
      <c r="Y141" s="2"/>
      <c r="Z141" s="6">
        <f t="shared" si="108"/>
        <v>3.0389643681107453E-3</v>
      </c>
    </row>
    <row r="142" spans="1:26" s="28" customFormat="1" outlineLevel="1" collapsed="1" x14ac:dyDescent="0.25">
      <c r="A142" s="29"/>
      <c r="B142" s="14" t="str">
        <f>CONCATENATE("     ","Training                                          ")</f>
        <v xml:space="preserve">     Training                                          </v>
      </c>
      <c r="C142" s="14"/>
      <c r="D142" s="1">
        <f>SUM(OSRRefD22_23x_0)</f>
        <v>0</v>
      </c>
      <c r="E142" s="1"/>
      <c r="F142" s="5">
        <f t="shared" ref="F142:F147" si="109">IF(D$12=0,0,D142/D$12)</f>
        <v>0</v>
      </c>
      <c r="G142" s="1"/>
      <c r="H142" s="1">
        <f>SUM(OSRRefH22_23x_0)</f>
        <v>0</v>
      </c>
      <c r="I142" s="1"/>
      <c r="J142" s="5">
        <f t="shared" ref="J142:J147" si="110">IF(H$12=0,0,H142/H$12)</f>
        <v>0</v>
      </c>
      <c r="K142" s="1"/>
      <c r="L142" s="1">
        <f t="shared" ref="L142:L147" si="111">+D142-H142</f>
        <v>0</v>
      </c>
      <c r="M142" s="1"/>
      <c r="N142" s="5">
        <f t="shared" ref="N142:N147" si="112">IF(H142=0,0,L142/H142)</f>
        <v>0</v>
      </c>
      <c r="O142" s="14"/>
      <c r="P142" s="1">
        <f>SUM(OSRRefP22_23x_0)</f>
        <v>595</v>
      </c>
      <c r="Q142" s="1"/>
      <c r="R142" s="5">
        <f t="shared" ref="R142:R147" si="113">IF(P$12=0,0,P142/P$12)</f>
        <v>2.0399227207333178E-4</v>
      </c>
      <c r="S142" s="1"/>
      <c r="T142" s="1">
        <f>SUM(OSRRefT22_23x_0)</f>
        <v>75</v>
      </c>
      <c r="U142" s="1"/>
      <c r="V142" s="5">
        <f t="shared" ref="V142:V147" si="114">IF(T$12=0,0,T142/T$12)</f>
        <v>1.7129365076102343E-5</v>
      </c>
      <c r="W142" s="1"/>
      <c r="X142" s="1">
        <f t="shared" ref="X142:X147" si="115">+P142-T142</f>
        <v>520</v>
      </c>
      <c r="Y142" s="1"/>
      <c r="Z142" s="5">
        <f t="shared" ref="Z142:Z147" si="116">IF(T142=0,0,X142/T142)</f>
        <v>6.9333333333333336</v>
      </c>
    </row>
    <row r="143" spans="1:26" s="24" customFormat="1" hidden="1" outlineLevel="2" x14ac:dyDescent="0.25">
      <c r="A143" s="27"/>
      <c r="B143" s="11" t="str">
        <f>CONCATENATE("          ", "6376", " - ", "TRAINING")</f>
        <v xml:space="preserve">          6376 - TRAINING</v>
      </c>
      <c r="C143" s="11"/>
      <c r="D143" s="7"/>
      <c r="E143" s="2"/>
      <c r="F143" s="6">
        <f t="shared" si="109"/>
        <v>0</v>
      </c>
      <c r="G143" s="2"/>
      <c r="H143" s="7"/>
      <c r="I143" s="2"/>
      <c r="J143" s="6">
        <f t="shared" si="110"/>
        <v>0</v>
      </c>
      <c r="K143" s="2"/>
      <c r="L143" s="7">
        <f t="shared" si="111"/>
        <v>0</v>
      </c>
      <c r="M143" s="2"/>
      <c r="N143" s="6">
        <f t="shared" si="112"/>
        <v>0</v>
      </c>
      <c r="O143" s="11"/>
      <c r="P143" s="7">
        <v>595</v>
      </c>
      <c r="Q143" s="2"/>
      <c r="R143" s="6">
        <f t="shared" si="113"/>
        <v>2.0399227207333178E-4</v>
      </c>
      <c r="S143" s="2"/>
      <c r="T143" s="7">
        <v>75</v>
      </c>
      <c r="U143" s="2"/>
      <c r="V143" s="6">
        <f t="shared" si="114"/>
        <v>1.7129365076102343E-5</v>
      </c>
      <c r="W143" s="2"/>
      <c r="X143" s="7">
        <f t="shared" si="115"/>
        <v>520</v>
      </c>
      <c r="Y143" s="2"/>
      <c r="Z143" s="6">
        <f t="shared" si="116"/>
        <v>6.9333333333333336</v>
      </c>
    </row>
    <row r="144" spans="1:26" s="28" customFormat="1" outlineLevel="1" collapsed="1" x14ac:dyDescent="0.25">
      <c r="A144" s="29"/>
      <c r="B144" s="14" t="str">
        <f>CONCATENATE("     ","Travel                                            ")</f>
        <v xml:space="preserve">     Travel                                            </v>
      </c>
      <c r="C144" s="14"/>
      <c r="D144" s="1">
        <f>SUM(OSRRefD22_24x_0)</f>
        <v>50</v>
      </c>
      <c r="E144" s="1"/>
      <c r="F144" s="5">
        <f t="shared" si="109"/>
        <v>8.6767322197835026E-5</v>
      </c>
      <c r="G144" s="1"/>
      <c r="H144" s="1">
        <f>SUM(OSRRefH22_24x_0)</f>
        <v>175</v>
      </c>
      <c r="I144" s="1"/>
      <c r="J144" s="5">
        <f t="shared" si="110"/>
        <v>4.0291294547782023E-4</v>
      </c>
      <c r="K144" s="1"/>
      <c r="L144" s="1">
        <f t="shared" si="111"/>
        <v>-125</v>
      </c>
      <c r="M144" s="1"/>
      <c r="N144" s="5">
        <f t="shared" si="112"/>
        <v>-0.7142857142857143</v>
      </c>
      <c r="O144" s="14"/>
      <c r="P144" s="1">
        <f>SUM(OSRRefP22_24x_0)</f>
        <v>760.53</v>
      </c>
      <c r="Q144" s="1"/>
      <c r="R144" s="5">
        <f t="shared" si="113"/>
        <v>2.6074326500828742E-4</v>
      </c>
      <c r="S144" s="1"/>
      <c r="T144" s="1">
        <f>SUM(OSRRefT22_24x_0)</f>
        <v>700</v>
      </c>
      <c r="U144" s="1"/>
      <c r="V144" s="5">
        <f t="shared" si="114"/>
        <v>1.5987407404362188E-4</v>
      </c>
      <c r="W144" s="1"/>
      <c r="X144" s="1">
        <f t="shared" si="115"/>
        <v>60.529999999999973</v>
      </c>
      <c r="Y144" s="1"/>
      <c r="Z144" s="5">
        <f t="shared" si="116"/>
        <v>8.6471428571428532E-2</v>
      </c>
    </row>
    <row r="145" spans="1:26" s="24" customFormat="1" hidden="1" outlineLevel="2" x14ac:dyDescent="0.25">
      <c r="A145" s="27"/>
      <c r="B145" s="11" t="str">
        <f>CONCATENATE("          ", "6292", " - ", "TRAVEL/CONFERENCE")</f>
        <v xml:space="preserve">          6292 - TRAVEL/CONFERENCE</v>
      </c>
      <c r="C145" s="11"/>
      <c r="D145" s="7"/>
      <c r="E145" s="2"/>
      <c r="F145" s="6">
        <f t="shared" si="109"/>
        <v>0</v>
      </c>
      <c r="G145" s="2"/>
      <c r="H145" s="7">
        <v>125</v>
      </c>
      <c r="I145" s="2"/>
      <c r="J145" s="6">
        <f t="shared" si="110"/>
        <v>2.8779496105558588E-4</v>
      </c>
      <c r="K145" s="2"/>
      <c r="L145" s="7">
        <f t="shared" si="111"/>
        <v>-125</v>
      </c>
      <c r="M145" s="2"/>
      <c r="N145" s="6">
        <f t="shared" si="112"/>
        <v>-1</v>
      </c>
      <c r="O145" s="11"/>
      <c r="P145" s="7">
        <v>495</v>
      </c>
      <c r="Q145" s="2"/>
      <c r="R145" s="6">
        <f t="shared" si="113"/>
        <v>1.6970785659882224E-4</v>
      </c>
      <c r="S145" s="2"/>
      <c r="T145" s="7">
        <v>500</v>
      </c>
      <c r="U145" s="2"/>
      <c r="V145" s="6">
        <f t="shared" si="114"/>
        <v>1.1419576717401563E-4</v>
      </c>
      <c r="W145" s="2"/>
      <c r="X145" s="7">
        <f t="shared" si="115"/>
        <v>-5</v>
      </c>
      <c r="Y145" s="2"/>
      <c r="Z145" s="6">
        <f t="shared" si="116"/>
        <v>-0.01</v>
      </c>
    </row>
    <row r="146" spans="1:26" s="24" customFormat="1" hidden="1" outlineLevel="2" x14ac:dyDescent="0.25">
      <c r="A146" s="27"/>
      <c r="B146" s="11" t="str">
        <f>CONCATENATE("          ", "6294", " - ", "TRAVEL OPERATIONAL")</f>
        <v xml:space="preserve">          6294 - TRAVEL OPERATIONAL</v>
      </c>
      <c r="C146" s="11"/>
      <c r="D146" s="7"/>
      <c r="E146" s="2"/>
      <c r="F146" s="6">
        <f t="shared" si="109"/>
        <v>0</v>
      </c>
      <c r="G146" s="2"/>
      <c r="H146" s="7">
        <v>25</v>
      </c>
      <c r="I146" s="2"/>
      <c r="J146" s="6">
        <f t="shared" si="110"/>
        <v>5.7558992211117176E-5</v>
      </c>
      <c r="K146" s="2"/>
      <c r="L146" s="7">
        <f t="shared" si="111"/>
        <v>-25</v>
      </c>
      <c r="M146" s="2"/>
      <c r="N146" s="6">
        <f t="shared" si="112"/>
        <v>-1</v>
      </c>
      <c r="O146" s="11"/>
      <c r="P146" s="7">
        <v>215.53</v>
      </c>
      <c r="Q146" s="2"/>
      <c r="R146" s="6">
        <f t="shared" si="113"/>
        <v>7.3893200672210422E-5</v>
      </c>
      <c r="S146" s="2"/>
      <c r="T146" s="7">
        <v>100</v>
      </c>
      <c r="U146" s="2"/>
      <c r="V146" s="6">
        <f t="shared" si="114"/>
        <v>2.2839153434803125E-5</v>
      </c>
      <c r="W146" s="2"/>
      <c r="X146" s="7">
        <f t="shared" si="115"/>
        <v>115.53</v>
      </c>
      <c r="Y146" s="2"/>
      <c r="Z146" s="6">
        <f t="shared" si="116"/>
        <v>1.1553</v>
      </c>
    </row>
    <row r="147" spans="1:26" s="24" customFormat="1" hidden="1" outlineLevel="2" x14ac:dyDescent="0.25">
      <c r="A147" s="27"/>
      <c r="B147" s="11" t="str">
        <f>CONCATENATE("          ", "6298", " - ", "VEHICLE MILEAGE")</f>
        <v xml:space="preserve">          6298 - VEHICLE MILEAGE</v>
      </c>
      <c r="C147" s="11"/>
      <c r="D147" s="7">
        <v>50</v>
      </c>
      <c r="E147" s="2"/>
      <c r="F147" s="6">
        <f t="shared" si="109"/>
        <v>8.6767322197835026E-5</v>
      </c>
      <c r="G147" s="2"/>
      <c r="H147" s="7">
        <v>25</v>
      </c>
      <c r="I147" s="2"/>
      <c r="J147" s="6">
        <f t="shared" si="110"/>
        <v>5.7558992211117176E-5</v>
      </c>
      <c r="K147" s="2"/>
      <c r="L147" s="7">
        <f t="shared" si="111"/>
        <v>25</v>
      </c>
      <c r="M147" s="2"/>
      <c r="N147" s="6">
        <f t="shared" si="112"/>
        <v>1</v>
      </c>
      <c r="O147" s="11"/>
      <c r="P147" s="7">
        <v>50</v>
      </c>
      <c r="Q147" s="2"/>
      <c r="R147" s="6">
        <f t="shared" si="113"/>
        <v>1.7142207737254773E-5</v>
      </c>
      <c r="S147" s="2"/>
      <c r="T147" s="7">
        <v>100</v>
      </c>
      <c r="U147" s="2"/>
      <c r="V147" s="6">
        <f t="shared" si="114"/>
        <v>2.2839153434803125E-5</v>
      </c>
      <c r="W147" s="2"/>
      <c r="X147" s="7">
        <f t="shared" si="115"/>
        <v>-50</v>
      </c>
      <c r="Y147" s="2"/>
      <c r="Z147" s="6">
        <f t="shared" si="116"/>
        <v>-0.5</v>
      </c>
    </row>
    <row r="148" spans="1:26" s="28" customFormat="1" outlineLevel="1" collapsed="1" x14ac:dyDescent="0.25">
      <c r="A148" s="29"/>
      <c r="B148" s="14" t="str">
        <f>CONCATENATE("     ","Utilities                                         ")</f>
        <v xml:space="preserve">     Utilities                                         </v>
      </c>
      <c r="C148" s="14"/>
      <c r="D148" s="1">
        <f>SUM(OSRRefD22_25x_0)</f>
        <v>6138.6</v>
      </c>
      <c r="E148" s="1"/>
      <c r="F148" s="5">
        <f t="shared" ref="F148:F149" si="117">IF(D$12=0,0,D148/D$12)</f>
        <v>1.0652597680872601E-2</v>
      </c>
      <c r="G148" s="1"/>
      <c r="H148" s="1">
        <f>SUM(OSRRefH22_25x_0)</f>
        <v>6120</v>
      </c>
      <c r="I148" s="1"/>
      <c r="J148" s="5">
        <f t="shared" ref="J148:J149" si="118">IF(H$12=0,0,H148/H$12)</f>
        <v>1.4090441293281485E-2</v>
      </c>
      <c r="K148" s="1"/>
      <c r="L148" s="1">
        <f t="shared" ref="L148:L149" si="119">+D148-H148</f>
        <v>18.600000000000364</v>
      </c>
      <c r="M148" s="1"/>
      <c r="N148" s="5">
        <f t="shared" ref="N148:N149" si="120">IF(H148=0,0,L148/H148)</f>
        <v>3.0392156862745693E-3</v>
      </c>
      <c r="O148" s="14"/>
      <c r="P148" s="1">
        <f>SUM(OSRRefP22_25x_0)</f>
        <v>24549.98</v>
      </c>
      <c r="Q148" s="1"/>
      <c r="R148" s="5">
        <f t="shared" ref="R148:R149" si="121">IF(P$12=0,0,P148/P$12)</f>
        <v>8.4168171421089982E-3</v>
      </c>
      <c r="S148" s="1"/>
      <c r="T148" s="1">
        <f>SUM(OSRRefT22_25x_0)</f>
        <v>24480</v>
      </c>
      <c r="U148" s="1"/>
      <c r="V148" s="5">
        <f t="shared" ref="V148:V149" si="122">IF(T$12=0,0,T148/T$12)</f>
        <v>5.5910247608398052E-3</v>
      </c>
      <c r="W148" s="1"/>
      <c r="X148" s="1">
        <f t="shared" ref="X148:X149" si="123">+P148-T148</f>
        <v>69.979999999999563</v>
      </c>
      <c r="Y148" s="1"/>
      <c r="Z148" s="5">
        <f t="shared" ref="Z148:Z149" si="124">IF(T148=0,0,X148/T148)</f>
        <v>2.8586601307189364E-3</v>
      </c>
    </row>
    <row r="149" spans="1:26" s="24" customFormat="1" hidden="1" outlineLevel="2" x14ac:dyDescent="0.25">
      <c r="A149" s="27"/>
      <c r="B149" s="11" t="str">
        <f>CONCATENATE("          ", "6274", " - ", "UTILITIES")</f>
        <v xml:space="preserve">          6274 - UTILITIES</v>
      </c>
      <c r="C149" s="11"/>
      <c r="D149" s="7">
        <v>6138.6</v>
      </c>
      <c r="E149" s="2"/>
      <c r="F149" s="6">
        <f t="shared" si="117"/>
        <v>1.0652597680872601E-2</v>
      </c>
      <c r="G149" s="2"/>
      <c r="H149" s="7">
        <v>6120</v>
      </c>
      <c r="I149" s="2"/>
      <c r="J149" s="6">
        <f t="shared" si="118"/>
        <v>1.4090441293281485E-2</v>
      </c>
      <c r="K149" s="2"/>
      <c r="L149" s="7">
        <f t="shared" si="119"/>
        <v>18.600000000000364</v>
      </c>
      <c r="M149" s="2"/>
      <c r="N149" s="6">
        <f t="shared" si="120"/>
        <v>3.0392156862745693E-3</v>
      </c>
      <c r="O149" s="11"/>
      <c r="P149" s="7">
        <v>24549.98</v>
      </c>
      <c r="Q149" s="2"/>
      <c r="R149" s="6">
        <f t="shared" si="121"/>
        <v>8.4168171421089982E-3</v>
      </c>
      <c r="S149" s="2"/>
      <c r="T149" s="7">
        <v>24480</v>
      </c>
      <c r="U149" s="2"/>
      <c r="V149" s="6">
        <f t="shared" si="122"/>
        <v>5.5910247608398052E-3</v>
      </c>
      <c r="W149" s="2"/>
      <c r="X149" s="7">
        <f t="shared" si="123"/>
        <v>69.979999999999563</v>
      </c>
      <c r="Y149" s="2"/>
      <c r="Z149" s="6">
        <f t="shared" si="124"/>
        <v>2.8586601307189364E-3</v>
      </c>
    </row>
    <row r="150" spans="1:26" s="60" customFormat="1" x14ac:dyDescent="0.25">
      <c r="A150" s="36"/>
      <c r="B150" s="36"/>
      <c r="C150" s="36"/>
      <c r="D150" s="1"/>
      <c r="E150" s="1"/>
      <c r="F150" s="5"/>
      <c r="G150" s="1"/>
      <c r="H150" s="1"/>
      <c r="I150" s="1"/>
      <c r="J150" s="5"/>
      <c r="K150" s="1"/>
      <c r="L150" s="1"/>
      <c r="M150" s="1"/>
      <c r="N150" s="5"/>
      <c r="O150" s="36"/>
      <c r="P150" s="1"/>
      <c r="Q150" s="1"/>
      <c r="R150" s="5"/>
      <c r="S150" s="1"/>
      <c r="T150" s="1"/>
      <c r="U150" s="1"/>
      <c r="V150" s="5"/>
      <c r="W150" s="1"/>
      <c r="X150" s="1"/>
      <c r="Y150" s="1"/>
      <c r="Z150" s="5"/>
    </row>
    <row r="151" spans="1:26" s="23" customFormat="1" collapsed="1" x14ac:dyDescent="0.25">
      <c r="A151" s="10"/>
      <c r="B151" s="25" t="s">
        <v>293</v>
      </c>
      <c r="C151" s="10"/>
      <c r="D151" s="4">
        <f>SUM(OSRRefD25x_0)</f>
        <v>38787.699999999997</v>
      </c>
      <c r="E151" s="4"/>
      <c r="F151" s="12">
        <f t="shared" ref="F151:F156" si="125">IF(D$12=0,0,D151/D$12)</f>
        <v>6.7310097264259308E-2</v>
      </c>
      <c r="G151" s="4"/>
      <c r="H151" s="4">
        <f>SUM(OSRRefH25x_0)</f>
        <v>29265</v>
      </c>
      <c r="I151" s="4"/>
      <c r="J151" s="12">
        <f t="shared" ref="J151:J156" si="126">IF(H$12=0,0,H151/H$12)</f>
        <v>6.737855628233376E-2</v>
      </c>
      <c r="K151" s="4"/>
      <c r="L151" s="4">
        <f t="shared" ref="L151:L156" si="127">+D151-H151</f>
        <v>9522.6999999999971</v>
      </c>
      <c r="M151" s="4"/>
      <c r="N151" s="12">
        <f t="shared" ref="N151:N156" si="128">IF(H151=0,0,L151/H151)</f>
        <v>0.32539552366307867</v>
      </c>
      <c r="O151" s="10"/>
      <c r="P151" s="4">
        <f>SUM(OSRRefP25x_0)</f>
        <v>401638.98</v>
      </c>
      <c r="Q151" s="4"/>
      <c r="R151" s="12">
        <f t="shared" ref="R151:R156" si="129">IF(P$12=0,0,P151/P$12)</f>
        <v>0.13769957661078228</v>
      </c>
      <c r="S151" s="4"/>
      <c r="T151" s="4">
        <f>SUM(OSRRefT25x_0)</f>
        <v>285261.5</v>
      </c>
      <c r="U151" s="4"/>
      <c r="V151" s="12">
        <f t="shared" ref="V151:V156" si="130">IF(T$12=0,0,T151/T$12)</f>
        <v>6.5151311675420917E-2</v>
      </c>
      <c r="W151" s="4"/>
      <c r="X151" s="4">
        <f t="shared" ref="X151:X156" si="131">+P151-T151</f>
        <v>116377.47999999998</v>
      </c>
      <c r="Y151" s="4"/>
      <c r="Z151" s="12">
        <f t="shared" ref="Z151:Z156" si="132">IF(T151=0,0,X151/T151)</f>
        <v>0.40796770682338829</v>
      </c>
    </row>
    <row r="152" spans="1:26" s="24" customFormat="1" hidden="1" outlineLevel="1" x14ac:dyDescent="0.25">
      <c r="A152" s="44"/>
      <c r="B152" s="11" t="str">
        <f>CONCATENATE("          ", "9150", " - ", "MISC. INCOME")</f>
        <v xml:space="preserve">          9150 - MISC. INCOME</v>
      </c>
      <c r="C152" s="11"/>
      <c r="D152" s="2">
        <f>--28793.44</f>
        <v>28793.439999999999</v>
      </c>
      <c r="E152" s="2"/>
      <c r="F152" s="19">
        <f t="shared" si="125"/>
        <v>4.9966593713280612E-2</v>
      </c>
      <c r="G152" s="2"/>
      <c r="H152" s="2">
        <v>29265</v>
      </c>
      <c r="I152" s="2"/>
      <c r="J152" s="19">
        <f t="shared" si="126"/>
        <v>6.737855628233376E-2</v>
      </c>
      <c r="K152" s="2"/>
      <c r="L152" s="2">
        <f t="shared" si="127"/>
        <v>-471.56000000000131</v>
      </c>
      <c r="M152" s="2"/>
      <c r="N152" s="19">
        <f t="shared" si="128"/>
        <v>-1.6113446096019179E-2</v>
      </c>
      <c r="O152" s="11"/>
      <c r="P152" s="2">
        <f>--158232.01</f>
        <v>158232.01</v>
      </c>
      <c r="Q152" s="2"/>
      <c r="R152" s="19">
        <f t="shared" si="129"/>
        <v>5.4248919722067489E-2</v>
      </c>
      <c r="S152" s="2"/>
      <c r="T152" s="2">
        <v>80281</v>
      </c>
      <c r="U152" s="2"/>
      <c r="V152" s="19">
        <f t="shared" si="130"/>
        <v>1.8335500768994296E-2</v>
      </c>
      <c r="W152" s="2"/>
      <c r="X152" s="2">
        <f t="shared" si="131"/>
        <v>77951.010000000009</v>
      </c>
      <c r="Y152" s="2"/>
      <c r="Z152" s="19">
        <f t="shared" si="132"/>
        <v>0.97097706804847983</v>
      </c>
    </row>
    <row r="153" spans="1:26" s="24" customFormat="1" hidden="1" outlineLevel="1" x14ac:dyDescent="0.25">
      <c r="A153" s="44"/>
      <c r="B153" s="11" t="str">
        <f>CONCATENATE("          ", "9151", " - ", "MISC. INCOME")</f>
        <v xml:space="preserve">          9151 - MISC. INCOME</v>
      </c>
      <c r="C153" s="11"/>
      <c r="D153" s="2">
        <f>0</f>
        <v>0</v>
      </c>
      <c r="E153" s="2"/>
      <c r="F153" s="19">
        <f t="shared" si="125"/>
        <v>0</v>
      </c>
      <c r="G153" s="2"/>
      <c r="H153" s="2"/>
      <c r="I153" s="2"/>
      <c r="J153" s="19">
        <f t="shared" si="126"/>
        <v>0</v>
      </c>
      <c r="K153" s="2"/>
      <c r="L153" s="2">
        <f t="shared" si="127"/>
        <v>0</v>
      </c>
      <c r="M153" s="2"/>
      <c r="N153" s="19">
        <f t="shared" si="128"/>
        <v>0</v>
      </c>
      <c r="O153" s="11"/>
      <c r="P153" s="2">
        <f>--168463.36</f>
        <v>168463.35999999999</v>
      </c>
      <c r="Q153" s="2"/>
      <c r="R153" s="19">
        <f t="shared" si="129"/>
        <v>5.7756678264718711E-2</v>
      </c>
      <c r="S153" s="2"/>
      <c r="T153" s="2">
        <v>204980.5</v>
      </c>
      <c r="U153" s="2"/>
      <c r="V153" s="19">
        <f t="shared" si="130"/>
        <v>4.6815810906426621E-2</v>
      </c>
      <c r="W153" s="2"/>
      <c r="X153" s="2">
        <f t="shared" si="131"/>
        <v>-36517.140000000014</v>
      </c>
      <c r="Y153" s="2"/>
      <c r="Z153" s="19">
        <f t="shared" si="132"/>
        <v>-0.17814933615636616</v>
      </c>
    </row>
    <row r="154" spans="1:26" s="24" customFormat="1" hidden="1" outlineLevel="1" x14ac:dyDescent="0.25">
      <c r="A154" s="44"/>
      <c r="B154" s="11" t="str">
        <f>CONCATENATE("          ", "9152", " - ", "MISC. INCOME")</f>
        <v xml:space="preserve">          9152 - MISC. INCOME</v>
      </c>
      <c r="C154" s="11"/>
      <c r="D154" s="2">
        <f>--257.3</f>
        <v>257.3</v>
      </c>
      <c r="E154" s="2"/>
      <c r="F154" s="19">
        <f t="shared" si="125"/>
        <v>4.4650464003005903E-4</v>
      </c>
      <c r="G154" s="2"/>
      <c r="H154" s="2"/>
      <c r="I154" s="2"/>
      <c r="J154" s="19">
        <f t="shared" si="126"/>
        <v>0</v>
      </c>
      <c r="K154" s="2"/>
      <c r="L154" s="2">
        <f t="shared" si="127"/>
        <v>257.3</v>
      </c>
      <c r="M154" s="2"/>
      <c r="N154" s="19">
        <f t="shared" si="128"/>
        <v>0</v>
      </c>
      <c r="O154" s="11"/>
      <c r="P154" s="2">
        <f>--2195.41</f>
        <v>2195.41</v>
      </c>
      <c r="Q154" s="2"/>
      <c r="R154" s="19">
        <f t="shared" si="129"/>
        <v>7.5268348576892994E-4</v>
      </c>
      <c r="S154" s="2"/>
      <c r="T154" s="2"/>
      <c r="U154" s="2"/>
      <c r="V154" s="19">
        <f t="shared" si="130"/>
        <v>0</v>
      </c>
      <c r="W154" s="2"/>
      <c r="X154" s="2">
        <f t="shared" si="131"/>
        <v>2195.41</v>
      </c>
      <c r="Y154" s="2"/>
      <c r="Z154" s="19">
        <f t="shared" si="132"/>
        <v>0</v>
      </c>
    </row>
    <row r="155" spans="1:26" s="24" customFormat="1" hidden="1" outlineLevel="1" x14ac:dyDescent="0.25">
      <c r="A155" s="44"/>
      <c r="B155" s="11" t="str">
        <f>CONCATENATE("          ", "9160", " - ", "MISC. INCOME")</f>
        <v xml:space="preserve">          9160 - MISC. INCOME</v>
      </c>
      <c r="C155" s="11"/>
      <c r="D155" s="2">
        <f>0</f>
        <v>0</v>
      </c>
      <c r="E155" s="2"/>
      <c r="F155" s="19">
        <f t="shared" si="125"/>
        <v>0</v>
      </c>
      <c r="G155" s="2"/>
      <c r="H155" s="2">
        <v>0</v>
      </c>
      <c r="I155" s="2"/>
      <c r="J155" s="19">
        <f t="shared" si="126"/>
        <v>0</v>
      </c>
      <c r="K155" s="2"/>
      <c r="L155" s="2">
        <f t="shared" si="127"/>
        <v>0</v>
      </c>
      <c r="M155" s="2"/>
      <c r="N155" s="19">
        <f t="shared" si="128"/>
        <v>0</v>
      </c>
      <c r="O155" s="11"/>
      <c r="P155" s="2">
        <f>0</f>
        <v>0</v>
      </c>
      <c r="Q155" s="2"/>
      <c r="R155" s="19">
        <f t="shared" si="129"/>
        <v>0</v>
      </c>
      <c r="S155" s="2"/>
      <c r="T155" s="2">
        <v>0</v>
      </c>
      <c r="U155" s="2"/>
      <c r="V155" s="19">
        <f t="shared" si="130"/>
        <v>0</v>
      </c>
      <c r="W155" s="2"/>
      <c r="X155" s="2">
        <f t="shared" si="131"/>
        <v>0</v>
      </c>
      <c r="Y155" s="2"/>
      <c r="Z155" s="19">
        <f t="shared" si="132"/>
        <v>0</v>
      </c>
    </row>
    <row r="156" spans="1:26" s="24" customFormat="1" hidden="1" outlineLevel="1" x14ac:dyDescent="0.25">
      <c r="A156" s="44"/>
      <c r="B156" s="11" t="str">
        <f>CONCATENATE("          ", "9163", " - ", "MISC. INCOME")</f>
        <v xml:space="preserve">          9163 - MISC. INCOME</v>
      </c>
      <c r="C156" s="11"/>
      <c r="D156" s="2">
        <f>--9736.96</f>
        <v>9736.9599999999991</v>
      </c>
      <c r="E156" s="2"/>
      <c r="F156" s="19">
        <f t="shared" si="125"/>
        <v>1.6896998910948632E-2</v>
      </c>
      <c r="G156" s="2"/>
      <c r="H156" s="2"/>
      <c r="I156" s="2"/>
      <c r="J156" s="19">
        <f t="shared" si="126"/>
        <v>0</v>
      </c>
      <c r="K156" s="2"/>
      <c r="L156" s="2">
        <f t="shared" si="127"/>
        <v>9736.9599999999991</v>
      </c>
      <c r="M156" s="2"/>
      <c r="N156" s="19">
        <f t="shared" si="128"/>
        <v>0</v>
      </c>
      <c r="O156" s="11"/>
      <c r="P156" s="2">
        <f>--72748.2</f>
        <v>72748.2</v>
      </c>
      <c r="Q156" s="2"/>
      <c r="R156" s="19">
        <f t="shared" si="129"/>
        <v>2.4941295138227151E-2</v>
      </c>
      <c r="S156" s="2"/>
      <c r="T156" s="2"/>
      <c r="U156" s="2"/>
      <c r="V156" s="19">
        <f t="shared" si="130"/>
        <v>0</v>
      </c>
      <c r="W156" s="2"/>
      <c r="X156" s="2">
        <f t="shared" si="131"/>
        <v>72748.2</v>
      </c>
      <c r="Y156" s="2"/>
      <c r="Z156" s="19">
        <f t="shared" si="132"/>
        <v>0</v>
      </c>
    </row>
    <row r="157" spans="1:26" x14ac:dyDescent="0.25">
      <c r="A157" s="9"/>
      <c r="B157" s="10"/>
      <c r="C157" s="10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O157" s="10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x14ac:dyDescent="0.25">
      <c r="A158" s="10"/>
      <c r="B158" s="26" t="s">
        <v>277</v>
      </c>
      <c r="C158" s="26"/>
      <c r="D158" s="21">
        <f>+D54-D56+D151</f>
        <v>-59387.400000000038</v>
      </c>
      <c r="E158" s="13"/>
      <c r="F158" s="20">
        <f>IF(D$12=0,0,D158/D$12)</f>
        <v>-0.10305771340583422</v>
      </c>
      <c r="G158" s="13"/>
      <c r="H158" s="21">
        <f>+H54-H56+H151</f>
        <v>-166497.71067114105</v>
      </c>
      <c r="I158" s="13"/>
      <c r="J158" s="20">
        <f>IF(H$12=0,0,H158/H$12)</f>
        <v>-0.38333761726756194</v>
      </c>
      <c r="K158" s="15"/>
      <c r="L158" s="21">
        <f>+D158-H158</f>
        <v>107110.31067114101</v>
      </c>
      <c r="M158" s="15"/>
      <c r="N158" s="20">
        <f>IF(H158=0,0,L158/H158)</f>
        <v>-0.64331401458546522</v>
      </c>
      <c r="O158" s="25"/>
      <c r="P158" s="21">
        <f>+P54-P56+P151</f>
        <v>73959.52000000095</v>
      </c>
      <c r="Q158" s="13"/>
      <c r="R158" s="20">
        <f>IF(P$12=0,0,P158/P$12)</f>
        <v>2.5356589119753307E-2</v>
      </c>
      <c r="S158" s="13"/>
      <c r="T158" s="21">
        <f>+T54-T56+T151</f>
        <v>277746.50598869938</v>
      </c>
      <c r="U158" s="13"/>
      <c r="V158" s="20">
        <f>IF(T$12=0,0,T158/T$12)</f>
        <v>6.3434950662563702E-2</v>
      </c>
      <c r="W158" s="15"/>
      <c r="X158" s="21">
        <f>+P158-T158</f>
        <v>-203786.98598869843</v>
      </c>
      <c r="Y158" s="15"/>
      <c r="Z158" s="20">
        <f>IF(T158=0,0,X158/T158)</f>
        <v>-0.73371575013436852</v>
      </c>
    </row>
    <row r="159" spans="1:26" x14ac:dyDescent="0.25">
      <c r="A159" s="9"/>
      <c r="B159" s="10"/>
      <c r="C159" s="9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s="23" customFormat="1" x14ac:dyDescent="0.25">
      <c r="A160" s="52"/>
      <c r="B160" s="10" t="s">
        <v>128</v>
      </c>
      <c r="C160" s="10"/>
      <c r="D160" s="4">
        <v>47455.6</v>
      </c>
      <c r="E160" s="4"/>
      <c r="F160" s="12">
        <f>IF(D$12=0,0,D160/D$12)</f>
        <v>8.235190670583159E-2</v>
      </c>
      <c r="G160" s="4"/>
      <c r="H160" s="4">
        <v>75211</v>
      </c>
      <c r="I160" s="4"/>
      <c r="J160" s="12">
        <f>IF(H$12=0,0,H160/H$12)</f>
        <v>0.17316277452761336</v>
      </c>
      <c r="K160" s="4"/>
      <c r="L160" s="4">
        <f>+D160-H160</f>
        <v>-27755.4</v>
      </c>
      <c r="M160" s="4"/>
      <c r="N160" s="12">
        <f>IF(H160=0,0,L160/H160)</f>
        <v>-0.36903378495166933</v>
      </c>
      <c r="O160" s="10"/>
      <c r="P160" s="4">
        <v>337155.35</v>
      </c>
      <c r="Q160" s="4"/>
      <c r="R160" s="12">
        <f>IF(P$12=0,0,P160/P$12)</f>
        <v>0.11559174098853681</v>
      </c>
      <c r="S160" s="4"/>
      <c r="T160" s="4">
        <v>503480</v>
      </c>
      <c r="U160" s="4"/>
      <c r="V160" s="12">
        <f>IF(T$12=0,0,T160/T$12)</f>
        <v>0.11499056971354676</v>
      </c>
      <c r="W160" s="4"/>
      <c r="X160" s="4">
        <f>+P160-T160</f>
        <v>-166324.65000000002</v>
      </c>
      <c r="Y160" s="4"/>
      <c r="Z160" s="12">
        <f>IF(T160=0,0,X160/T160)</f>
        <v>-0.33035006355763891</v>
      </c>
    </row>
    <row r="161" spans="1:26" x14ac:dyDescent="0.25">
      <c r="A161" s="9"/>
      <c r="B161" s="10"/>
      <c r="C161" s="10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O161" s="10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s="23" customFormat="1" ht="15.75" thickBot="1" x14ac:dyDescent="0.3">
      <c r="A162" s="10"/>
      <c r="B162" s="26" t="s">
        <v>126</v>
      </c>
      <c r="C162" s="26"/>
      <c r="D162" s="31">
        <f>+D158-D160</f>
        <v>-106843.00000000003</v>
      </c>
      <c r="E162" s="13"/>
      <c r="F162" s="33">
        <f>IF(D$12=0,0,D162/D$12)</f>
        <v>-0.18540962011166578</v>
      </c>
      <c r="G162" s="13"/>
      <c r="H162" s="31">
        <f>+H158-H160</f>
        <v>-241708.71067114105</v>
      </c>
      <c r="I162" s="13"/>
      <c r="J162" s="33">
        <f>IF(H$12=0,0,H162/H$12)</f>
        <v>-0.5565003917951753</v>
      </c>
      <c r="K162" s="15"/>
      <c r="L162" s="31">
        <f>D162-H162</f>
        <v>134865.71067114102</v>
      </c>
      <c r="M162" s="15"/>
      <c r="N162" s="33">
        <f>IF(H162=0,0,L162/H162)</f>
        <v>-0.55796793709529879</v>
      </c>
      <c r="O162" s="25"/>
      <c r="P162" s="31">
        <f>+P158-P160</f>
        <v>-263195.82999999903</v>
      </c>
      <c r="Q162" s="13"/>
      <c r="R162" s="33">
        <f>IF(P$12=0,0,P162/P$12)</f>
        <v>-9.0235151868783489E-2</v>
      </c>
      <c r="S162" s="13"/>
      <c r="T162" s="31">
        <f>+T158-T160</f>
        <v>-225733.49401130062</v>
      </c>
      <c r="U162" s="13"/>
      <c r="V162" s="33">
        <f>IF(T$12=0,0,T162/T$12)</f>
        <v>-5.1555619050983069E-2</v>
      </c>
      <c r="W162" s="15"/>
      <c r="X162" s="31">
        <f>P162-T162</f>
        <v>-37462.335988698411</v>
      </c>
      <c r="Y162" s="15"/>
      <c r="Z162" s="33">
        <f>IF(T162=0,0,X162/T162)</f>
        <v>0.16595825157795582</v>
      </c>
    </row>
    <row r="163" spans="1:26" ht="15.75" thickTop="1" x14ac:dyDescent="0.25">
      <c r="A163" s="9"/>
      <c r="B163" s="9"/>
      <c r="C163" s="9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x14ac:dyDescent="0.25">
      <c r="A164" s="9"/>
      <c r="B164" s="9"/>
      <c r="C164" s="9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s="23" customFormat="1" ht="15.75" thickBot="1" x14ac:dyDescent="0.3">
      <c r="A165" s="10"/>
      <c r="B165" s="26" t="s">
        <v>294</v>
      </c>
      <c r="C165" s="26"/>
      <c r="D165" s="35">
        <f>SUM(D162:D164)</f>
        <v>-106843.00000000003</v>
      </c>
      <c r="E165" s="13"/>
      <c r="F165" s="32">
        <f>IF(D$12=0,0,D165/D$12)</f>
        <v>-0.18540962011166578</v>
      </c>
      <c r="G165" s="13"/>
      <c r="H165" s="35">
        <f>SUM(H162:H164)</f>
        <v>-241708.71067114105</v>
      </c>
      <c r="I165" s="13"/>
      <c r="J165" s="32">
        <f>IF(H$12=0,0,H165/H$12)</f>
        <v>-0.5565003917951753</v>
      </c>
      <c r="K165" s="15"/>
      <c r="L165" s="35">
        <f>+D165-H165</f>
        <v>134865.71067114102</v>
      </c>
      <c r="M165" s="15"/>
      <c r="N165" s="32">
        <f>IF(H165=0,0,L165/H165)</f>
        <v>-0.55796793709529879</v>
      </c>
      <c r="O165" s="25"/>
      <c r="P165" s="35">
        <f>SUM(P162:P164)</f>
        <v>-263195.82999999903</v>
      </c>
      <c r="Q165" s="13"/>
      <c r="R165" s="32">
        <f>IF(P$12=0,0,P165/P$12)</f>
        <v>-9.0235151868783489E-2</v>
      </c>
      <c r="S165" s="13"/>
      <c r="T165" s="35">
        <f>SUM(T162:T164)</f>
        <v>-225733.49401130062</v>
      </c>
      <c r="U165" s="13"/>
      <c r="V165" s="32">
        <f>IF(T$12=0,0,T165/T$12)</f>
        <v>-5.1555619050983069E-2</v>
      </c>
      <c r="W165" s="15"/>
      <c r="X165" s="35">
        <f>+P165-T165</f>
        <v>-37462.335988698411</v>
      </c>
      <c r="Y165" s="15"/>
      <c r="Z165" s="32">
        <f>IF(T165=0,0,X165/T165)</f>
        <v>0.16595825157795582</v>
      </c>
    </row>
    <row r="166" spans="1:26" ht="15.75" thickTop="1" x14ac:dyDescent="0.25">
      <c r="A166" s="9"/>
      <c r="C166" s="9"/>
      <c r="D166" s="18"/>
      <c r="E166" s="18"/>
      <c r="G166" s="18"/>
      <c r="H166" s="18"/>
      <c r="I166" s="18"/>
      <c r="J166" s="42"/>
      <c r="K166" s="18"/>
      <c r="L166" s="18"/>
      <c r="M166" s="18"/>
      <c r="P166" s="18"/>
      <c r="Q166" s="18"/>
      <c r="R166" s="42"/>
      <c r="S166" s="18"/>
      <c r="T166" s="18"/>
      <c r="U166" s="18"/>
      <c r="V166" s="42"/>
      <c r="W166" s="18"/>
      <c r="X166" s="18"/>
    </row>
    <row r="167" spans="1:26" x14ac:dyDescent="0.25">
      <c r="A167" s="9"/>
      <c r="B167" s="59">
        <v>44517.962866006943</v>
      </c>
      <c r="D167" s="18"/>
      <c r="E167" s="18"/>
      <c r="G167" s="18"/>
      <c r="H167" s="18"/>
      <c r="I167" s="18"/>
      <c r="J167" s="42"/>
      <c r="K167" s="18"/>
      <c r="L167" s="18"/>
      <c r="M167" s="18"/>
      <c r="P167" s="18"/>
      <c r="Q167" s="18"/>
      <c r="R167" s="42"/>
      <c r="S167" s="18"/>
      <c r="T167" s="18"/>
      <c r="U167" s="18"/>
      <c r="V167" s="42"/>
      <c r="W167" s="18"/>
      <c r="X167" s="18"/>
    </row>
    <row r="168" spans="1:26" x14ac:dyDescent="0.25">
      <c r="A168" s="9"/>
      <c r="B168" s="62" t="s">
        <v>56</v>
      </c>
      <c r="D168" s="18"/>
      <c r="E168" s="18"/>
      <c r="G168" s="18"/>
      <c r="H168" s="18"/>
      <c r="I168" s="18"/>
      <c r="J168" s="42"/>
      <c r="K168" s="18"/>
      <c r="L168" s="18"/>
      <c r="M168" s="18"/>
      <c r="P168" s="18"/>
      <c r="Q168" s="18"/>
      <c r="R168" s="42"/>
      <c r="S168" s="18"/>
      <c r="T168" s="18"/>
      <c r="U168" s="18"/>
      <c r="V168" s="42"/>
      <c r="W168" s="18"/>
      <c r="X168" s="18"/>
    </row>
    <row r="169" spans="1:26" x14ac:dyDescent="0.25">
      <c r="A169" s="9"/>
      <c r="B169" s="57"/>
      <c r="D169" s="18"/>
      <c r="E169" s="18"/>
      <c r="G169" s="18"/>
      <c r="H169" s="18"/>
      <c r="I169" s="18"/>
      <c r="J169" s="42"/>
      <c r="K169" s="18"/>
      <c r="L169" s="18"/>
      <c r="M169" s="18"/>
      <c r="P169" s="18"/>
      <c r="Q169" s="18"/>
      <c r="R169" s="42"/>
      <c r="S169" s="18"/>
      <c r="T169" s="18"/>
      <c r="U169" s="18"/>
      <c r="V169" s="42"/>
      <c r="W169" s="18"/>
      <c r="X169" s="18"/>
    </row>
    <row r="170" spans="1:26" x14ac:dyDescent="0.25">
      <c r="D170" s="18"/>
      <c r="E170" s="18"/>
      <c r="G170" s="18"/>
      <c r="H170" s="18"/>
      <c r="I170" s="18"/>
      <c r="J170" s="42"/>
      <c r="K170" s="18"/>
      <c r="L170" s="18"/>
      <c r="M170" s="18"/>
      <c r="P170" s="18"/>
      <c r="Q170" s="18"/>
      <c r="R170" s="42"/>
      <c r="S170" s="18"/>
      <c r="T170" s="18"/>
      <c r="U170" s="18"/>
      <c r="V170" s="42"/>
      <c r="W170" s="18"/>
      <c r="X170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</sheetPr>
  <dimension ref="A2:Z16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256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550423.75999999989</v>
      </c>
      <c r="E12" s="4"/>
      <c r="F12" s="12"/>
      <c r="G12" s="4"/>
      <c r="H12" s="4">
        <f>SUM(OSRRefH13x_0)</f>
        <v>382583</v>
      </c>
      <c r="I12" s="4"/>
      <c r="J12" s="12"/>
      <c r="K12" s="4"/>
      <c r="L12" s="4">
        <f t="shared" ref="L12:L19" si="0">+D12-H12</f>
        <v>167840.75999999989</v>
      </c>
      <c r="M12" s="4"/>
      <c r="N12" s="12">
        <f t="shared" ref="N12:N19" si="1">IF(H12=0,0,L12/H12)</f>
        <v>0.43870417661004252</v>
      </c>
      <c r="O12" s="10"/>
      <c r="P12" s="4">
        <f>SUM(OSRRefP13x_0)</f>
        <v>2868169.07</v>
      </c>
      <c r="Q12" s="4"/>
      <c r="R12" s="12"/>
      <c r="S12" s="4"/>
      <c r="T12" s="4">
        <f>SUM(OSRRefT13x_0)</f>
        <v>4272677</v>
      </c>
      <c r="U12" s="4"/>
      <c r="V12" s="12"/>
      <c r="W12" s="4"/>
      <c r="X12" s="4">
        <f t="shared" ref="X12:X19" si="2">+P12-T12</f>
        <v>-1404507.9300000002</v>
      </c>
      <c r="Y12" s="4"/>
      <c r="Z12" s="12">
        <f t="shared" ref="Z12:Z19" si="3">IF(T12=0,0,X12/T12)</f>
        <v>-0.32871848960265432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--478161.62</f>
        <v>478161.62</v>
      </c>
      <c r="E13" s="2"/>
      <c r="F13" s="19"/>
      <c r="G13" s="2"/>
      <c r="H13" s="2">
        <v>335624</v>
      </c>
      <c r="I13" s="2"/>
      <c r="J13" s="19"/>
      <c r="K13" s="2"/>
      <c r="L13" s="2">
        <f t="shared" si="0"/>
        <v>142537.62</v>
      </c>
      <c r="M13" s="2"/>
      <c r="N13" s="19">
        <f t="shared" si="1"/>
        <v>0.42469436035563607</v>
      </c>
      <c r="O13" s="11"/>
      <c r="P13" s="2">
        <f>--2369514.2</f>
        <v>2369514.2000000002</v>
      </c>
      <c r="Q13" s="2"/>
      <c r="R13" s="19"/>
      <c r="S13" s="2"/>
      <c r="T13" s="2">
        <v>4170105</v>
      </c>
      <c r="U13" s="2"/>
      <c r="V13" s="19"/>
      <c r="W13" s="2"/>
      <c r="X13" s="2">
        <f t="shared" si="2"/>
        <v>-1800590.7999999998</v>
      </c>
      <c r="Y13" s="2"/>
      <c r="Z13" s="19">
        <f t="shared" si="3"/>
        <v>-0.43178548261974214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--107456.48</f>
        <v>107456.48</v>
      </c>
      <c r="E14" s="2"/>
      <c r="F14" s="19"/>
      <c r="G14" s="2"/>
      <c r="H14" s="2">
        <v>46959</v>
      </c>
      <c r="I14" s="2"/>
      <c r="J14" s="19"/>
      <c r="K14" s="2"/>
      <c r="L14" s="2">
        <f t="shared" si="0"/>
        <v>60497.479999999996</v>
      </c>
      <c r="M14" s="2"/>
      <c r="N14" s="19">
        <f t="shared" si="1"/>
        <v>1.2883042654230286</v>
      </c>
      <c r="O14" s="11"/>
      <c r="P14" s="2">
        <f>--594454.86</f>
        <v>594454.86</v>
      </c>
      <c r="Q14" s="2"/>
      <c r="R14" s="19"/>
      <c r="S14" s="2"/>
      <c r="T14" s="2">
        <v>102572</v>
      </c>
      <c r="U14" s="2"/>
      <c r="V14" s="19"/>
      <c r="W14" s="2"/>
      <c r="X14" s="2">
        <f t="shared" si="2"/>
        <v>491882.86</v>
      </c>
      <c r="Y14" s="2"/>
      <c r="Z14" s="19">
        <f t="shared" si="3"/>
        <v>4.7954886323753065</v>
      </c>
    </row>
    <row r="15" spans="1:26" s="24" customFormat="1" hidden="1" outlineLevel="1" x14ac:dyDescent="0.25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>-460.55</f>
        <v>-460.55</v>
      </c>
      <c r="E15" s="2"/>
      <c r="F15" s="19"/>
      <c r="G15" s="2"/>
      <c r="H15" s="2"/>
      <c r="I15" s="2"/>
      <c r="J15" s="19"/>
      <c r="K15" s="2"/>
      <c r="L15" s="2">
        <f t="shared" si="0"/>
        <v>-460.55</v>
      </c>
      <c r="M15" s="2"/>
      <c r="N15" s="19">
        <f t="shared" si="1"/>
        <v>0</v>
      </c>
      <c r="O15" s="11"/>
      <c r="P15" s="2">
        <f t="shared" ref="P15:P16" si="4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>-7492.95</f>
        <v>-7492.95</v>
      </c>
      <c r="E16" s="2"/>
      <c r="F16" s="19"/>
      <c r="G16" s="2"/>
      <c r="H16" s="2"/>
      <c r="I16" s="2"/>
      <c r="J16" s="19"/>
      <c r="K16" s="2"/>
      <c r="L16" s="2">
        <f t="shared" si="0"/>
        <v>-7492.95</v>
      </c>
      <c r="M16" s="2"/>
      <c r="N16" s="19">
        <f t="shared" si="1"/>
        <v>0</v>
      </c>
      <c r="O16" s="11"/>
      <c r="P16" s="2">
        <f t="shared" si="4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"4200", " - ", "TAXABLE RETURNS")</f>
        <v xml:space="preserve">          4200 - TAXABLE RETURNS</v>
      </c>
      <c r="C17" s="11"/>
      <c r="D17" s="2">
        <f>-13940.06</f>
        <v>-13940.06</v>
      </c>
      <c r="E17" s="2"/>
      <c r="F17" s="19"/>
      <c r="G17" s="2"/>
      <c r="H17" s="2"/>
      <c r="I17" s="2"/>
      <c r="J17" s="19"/>
      <c r="K17" s="2"/>
      <c r="L17" s="2">
        <f t="shared" si="0"/>
        <v>-13940.06</v>
      </c>
      <c r="M17" s="2"/>
      <c r="N17" s="19">
        <f t="shared" si="1"/>
        <v>0</v>
      </c>
      <c r="O17" s="11"/>
      <c r="P17" s="2">
        <f>-62392.97</f>
        <v>-62392.97</v>
      </c>
      <c r="Q17" s="2"/>
      <c r="R17" s="19"/>
      <c r="S17" s="2"/>
      <c r="T17" s="2"/>
      <c r="U17" s="2"/>
      <c r="V17" s="19"/>
      <c r="W17" s="2"/>
      <c r="X17" s="2">
        <f t="shared" si="2"/>
        <v>-62392.97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"4300", " - ", "NON-TAX RETURNS")</f>
        <v xml:space="preserve">          4300 - NON-TAX RETURNS</v>
      </c>
      <c r="C18" s="11"/>
      <c r="D18" s="2">
        <f>-5693.23</f>
        <v>-5693.23</v>
      </c>
      <c r="E18" s="2"/>
      <c r="F18" s="19"/>
      <c r="G18" s="2"/>
      <c r="H18" s="2"/>
      <c r="I18" s="2"/>
      <c r="J18" s="19"/>
      <c r="K18" s="2"/>
      <c r="L18" s="2">
        <f t="shared" si="0"/>
        <v>-5693.23</v>
      </c>
      <c r="M18" s="2"/>
      <c r="N18" s="19">
        <f t="shared" si="1"/>
        <v>0</v>
      </c>
      <c r="O18" s="11"/>
      <c r="P18" s="2">
        <f>-25799.47</f>
        <v>-25799.47</v>
      </c>
      <c r="Q18" s="2"/>
      <c r="R18" s="19"/>
      <c r="S18" s="2"/>
      <c r="T18" s="2"/>
      <c r="U18" s="2"/>
      <c r="V18" s="19"/>
      <c r="W18" s="2"/>
      <c r="X18" s="2">
        <f t="shared" si="2"/>
        <v>-25799.47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"4500", " - ", "SALES DISCOUNT")</f>
        <v xml:space="preserve">          4500 - SALES DISCOUNT</v>
      </c>
      <c r="C19" s="11"/>
      <c r="D19" s="2">
        <f>-7607.55</f>
        <v>-7607.55</v>
      </c>
      <c r="E19" s="2"/>
      <c r="F19" s="19"/>
      <c r="G19" s="2"/>
      <c r="H19" s="2"/>
      <c r="I19" s="2"/>
      <c r="J19" s="19"/>
      <c r="K19" s="2"/>
      <c r="L19" s="2">
        <f t="shared" si="0"/>
        <v>-7607.55</v>
      </c>
      <c r="M19" s="2"/>
      <c r="N19" s="19">
        <f t="shared" si="1"/>
        <v>0</v>
      </c>
      <c r="O19" s="11"/>
      <c r="P19" s="2">
        <f>-7607.55</f>
        <v>-7607.55</v>
      </c>
      <c r="Q19" s="2"/>
      <c r="R19" s="19"/>
      <c r="S19" s="2"/>
      <c r="T19" s="2"/>
      <c r="U19" s="2"/>
      <c r="V19" s="19"/>
      <c r="W19" s="2"/>
      <c r="X19" s="2">
        <f t="shared" si="2"/>
        <v>-7607.55</v>
      </c>
      <c r="Y19" s="2"/>
      <c r="Z19" s="19">
        <f t="shared" si="3"/>
        <v>0</v>
      </c>
    </row>
    <row r="20" spans="1:26" x14ac:dyDescent="0.25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25">
      <c r="A21" s="10"/>
      <c r="B21" s="25" t="s">
        <v>257</v>
      </c>
      <c r="C21" s="10"/>
      <c r="D21" s="4">
        <f>SUM(OSRRefD16x_0)</f>
        <v>310679.2</v>
      </c>
      <c r="E21" s="4"/>
      <c r="F21" s="12">
        <f t="shared" ref="F21:F48" si="5">IF(D$12=0,0,D21/D$12)</f>
        <v>0.56443638988258804</v>
      </c>
      <c r="G21" s="4"/>
      <c r="H21" s="4">
        <f>SUM(OSRRefH16x_0)</f>
        <v>188725</v>
      </c>
      <c r="I21" s="4"/>
      <c r="J21" s="12">
        <f t="shared" ref="J21:J48" si="6">IF(H$12=0,0,H21/H$12)</f>
        <v>0.49329165174615702</v>
      </c>
      <c r="K21" s="4"/>
      <c r="L21" s="4">
        <f t="shared" ref="L21:L48" si="7">+D21-H21</f>
        <v>121954.20000000001</v>
      </c>
      <c r="M21" s="4"/>
      <c r="N21" s="12">
        <f t="shared" ref="N21:N48" si="8">IF(H21=0,0,L21/H21)</f>
        <v>0.64620055636508156</v>
      </c>
      <c r="O21" s="10"/>
      <c r="P21" s="4">
        <f>SUM(OSRRefP16x_0)</f>
        <v>1815750.9</v>
      </c>
      <c r="Q21" s="4"/>
      <c r="R21" s="12">
        <f t="shared" ref="R21:R48" si="9">IF(P$12=0,0,P21/P$12)</f>
        <v>0.63306968860102797</v>
      </c>
      <c r="S21" s="4"/>
      <c r="T21" s="4">
        <f>SUM(OSRRefT16x_0)</f>
        <v>2750121</v>
      </c>
      <c r="U21" s="4"/>
      <c r="V21" s="12">
        <f t="shared" ref="V21:V48" si="10">IF(T$12=0,0,T21/T$12)</f>
        <v>0.64365291361832411</v>
      </c>
      <c r="W21" s="4"/>
      <c r="X21" s="4">
        <f t="shared" ref="X21:X48" si="11">+P21-T21</f>
        <v>-934370.10000000009</v>
      </c>
      <c r="Y21" s="4"/>
      <c r="Z21" s="12">
        <f t="shared" ref="Z21:Z48" si="12">IF(T21=0,0,X21/T21)</f>
        <v>-0.33975599619071312</v>
      </c>
    </row>
    <row r="22" spans="1:26" s="24" customFormat="1" hidden="1" outlineLevel="1" x14ac:dyDescent="0.25">
      <c r="A22" s="44"/>
      <c r="B22" s="11" t="str">
        <f>CONCATENATE("          ", "5000", " - ", "PURCHASES @ COST")</f>
        <v xml:space="preserve">          5000 - PURCHASES @ COST</v>
      </c>
      <c r="C22" s="11"/>
      <c r="D22" s="2">
        <v>744878.53</v>
      </c>
      <c r="E22" s="2"/>
      <c r="F22" s="19">
        <f t="shared" si="5"/>
        <v>1.3532819331781756</v>
      </c>
      <c r="G22" s="2"/>
      <c r="H22" s="2">
        <v>188725</v>
      </c>
      <c r="I22" s="2"/>
      <c r="J22" s="19">
        <f t="shared" si="6"/>
        <v>0.49329165174615702</v>
      </c>
      <c r="K22" s="2"/>
      <c r="L22" s="2">
        <f t="shared" si="7"/>
        <v>556153.53</v>
      </c>
      <c r="M22" s="2"/>
      <c r="N22" s="19">
        <f t="shared" si="8"/>
        <v>2.9468990859716522</v>
      </c>
      <c r="O22" s="11"/>
      <c r="P22" s="2">
        <v>2316137.12</v>
      </c>
      <c r="Q22" s="2"/>
      <c r="R22" s="19">
        <f t="shared" si="9"/>
        <v>0.80753158669269109</v>
      </c>
      <c r="S22" s="2"/>
      <c r="T22" s="2">
        <v>2750121</v>
      </c>
      <c r="U22" s="2"/>
      <c r="V22" s="19">
        <f t="shared" si="10"/>
        <v>0.64365291361832411</v>
      </c>
      <c r="W22" s="2"/>
      <c r="X22" s="2">
        <f t="shared" si="11"/>
        <v>-433983.87999999989</v>
      </c>
      <c r="Y22" s="2"/>
      <c r="Z22" s="19">
        <f t="shared" si="12"/>
        <v>-0.15780537656343116</v>
      </c>
    </row>
    <row r="23" spans="1:26" s="24" customFormat="1" hidden="1" outlineLevel="1" x14ac:dyDescent="0.25">
      <c r="A23" s="44"/>
      <c r="B23" s="11" t="str">
        <f>CONCATENATE("          ", "5001", " - ", "PURCHASES @ COST-NEW TEXT")</f>
        <v xml:space="preserve">          5001 - PURCHASES @ COST-NEW TEXT</v>
      </c>
      <c r="C23" s="11"/>
      <c r="D23" s="2">
        <v>0</v>
      </c>
      <c r="E23" s="2"/>
      <c r="F23" s="19">
        <f t="shared" si="5"/>
        <v>0</v>
      </c>
      <c r="G23" s="2"/>
      <c r="H23" s="2"/>
      <c r="I23" s="2"/>
      <c r="J23" s="19">
        <f t="shared" si="6"/>
        <v>0</v>
      </c>
      <c r="K23" s="2"/>
      <c r="L23" s="2">
        <f t="shared" si="7"/>
        <v>0</v>
      </c>
      <c r="M23" s="2"/>
      <c r="N23" s="19">
        <f t="shared" si="8"/>
        <v>0</v>
      </c>
      <c r="O23" s="11"/>
      <c r="P23" s="2">
        <v>0</v>
      </c>
      <c r="Q23" s="2"/>
      <c r="R23" s="19">
        <f t="shared" si="9"/>
        <v>0</v>
      </c>
      <c r="S23" s="2"/>
      <c r="T23" s="2"/>
      <c r="U23" s="2"/>
      <c r="V23" s="19">
        <f t="shared" si="10"/>
        <v>0</v>
      </c>
      <c r="W23" s="2"/>
      <c r="X23" s="2">
        <f t="shared" si="11"/>
        <v>0</v>
      </c>
      <c r="Y23" s="2"/>
      <c r="Z23" s="19">
        <f t="shared" si="12"/>
        <v>0</v>
      </c>
    </row>
    <row r="24" spans="1:26" s="24" customFormat="1" hidden="1" outlineLevel="1" x14ac:dyDescent="0.25">
      <c r="A24" s="44"/>
      <c r="B24" s="11" t="str">
        <f>CONCATENATE("          ", "5002", " - ", "PURCHASES @ COST-USED TEXT")</f>
        <v xml:space="preserve">          5002 - PURCHASES @ COST-USED TEXT</v>
      </c>
      <c r="C24" s="11"/>
      <c r="D24" s="2"/>
      <c r="E24" s="2"/>
      <c r="F24" s="19">
        <f t="shared" si="5"/>
        <v>0</v>
      </c>
      <c r="G24" s="2"/>
      <c r="H24" s="2"/>
      <c r="I24" s="2"/>
      <c r="J24" s="19">
        <f t="shared" si="6"/>
        <v>0</v>
      </c>
      <c r="K24" s="2"/>
      <c r="L24" s="2">
        <f t="shared" si="7"/>
        <v>0</v>
      </c>
      <c r="M24" s="2"/>
      <c r="N24" s="19">
        <f t="shared" si="8"/>
        <v>0</v>
      </c>
      <c r="O24" s="11"/>
      <c r="P24" s="2">
        <v>0</v>
      </c>
      <c r="Q24" s="2"/>
      <c r="R24" s="19">
        <f t="shared" si="9"/>
        <v>0</v>
      </c>
      <c r="S24" s="2"/>
      <c r="T24" s="2"/>
      <c r="U24" s="2"/>
      <c r="V24" s="19">
        <f t="shared" si="10"/>
        <v>0</v>
      </c>
      <c r="W24" s="2"/>
      <c r="X24" s="2">
        <f t="shared" si="11"/>
        <v>0</v>
      </c>
      <c r="Y24" s="2"/>
      <c r="Z24" s="19">
        <f t="shared" si="12"/>
        <v>0</v>
      </c>
    </row>
    <row r="25" spans="1:26" s="24" customFormat="1" hidden="1" outlineLevel="1" x14ac:dyDescent="0.25">
      <c r="A25" s="44"/>
      <c r="B25" s="11" t="str">
        <f>CONCATENATE("          ", "5004", " - ", "PURCHASES @ COST-DIGITAL TEXT")</f>
        <v xml:space="preserve">          5004 - PURCHASES @ COST-DIGITAL TEXT</v>
      </c>
      <c r="C25" s="11"/>
      <c r="D25" s="2"/>
      <c r="E25" s="2"/>
      <c r="F25" s="19">
        <f t="shared" si="5"/>
        <v>0</v>
      </c>
      <c r="G25" s="2"/>
      <c r="H25" s="2"/>
      <c r="I25" s="2"/>
      <c r="J25" s="19">
        <f t="shared" si="6"/>
        <v>0</v>
      </c>
      <c r="K25" s="2"/>
      <c r="L25" s="2">
        <f t="shared" si="7"/>
        <v>0</v>
      </c>
      <c r="M25" s="2"/>
      <c r="N25" s="19">
        <f t="shared" si="8"/>
        <v>0</v>
      </c>
      <c r="O25" s="11"/>
      <c r="P25" s="2">
        <v>0</v>
      </c>
      <c r="Q25" s="2"/>
      <c r="R25" s="19">
        <f t="shared" si="9"/>
        <v>0</v>
      </c>
      <c r="S25" s="2"/>
      <c r="T25" s="2"/>
      <c r="U25" s="2"/>
      <c r="V25" s="19">
        <f t="shared" si="10"/>
        <v>0</v>
      </c>
      <c r="W25" s="2"/>
      <c r="X25" s="2">
        <f t="shared" si="11"/>
        <v>0</v>
      </c>
      <c r="Y25" s="2"/>
      <c r="Z25" s="19">
        <f t="shared" si="12"/>
        <v>0</v>
      </c>
    </row>
    <row r="26" spans="1:26" s="24" customFormat="1" hidden="1" outlineLevel="1" x14ac:dyDescent="0.25">
      <c r="A26" s="44"/>
      <c r="B26" s="11" t="str">
        <f>CONCATENATE("          ", "5026", " - ", "PURCHASES @ COST-WRITING INSTR")</f>
        <v xml:space="preserve">          5026 - PURCHASES @ COST-WRITING INSTR</v>
      </c>
      <c r="C26" s="11"/>
      <c r="D26" s="2"/>
      <c r="E26" s="2"/>
      <c r="F26" s="19">
        <f t="shared" si="5"/>
        <v>0</v>
      </c>
      <c r="G26" s="2"/>
      <c r="H26" s="2"/>
      <c r="I26" s="2"/>
      <c r="J26" s="19">
        <f t="shared" si="6"/>
        <v>0</v>
      </c>
      <c r="K26" s="2"/>
      <c r="L26" s="2">
        <f t="shared" si="7"/>
        <v>0</v>
      </c>
      <c r="M26" s="2"/>
      <c r="N26" s="19">
        <f t="shared" si="8"/>
        <v>0</v>
      </c>
      <c r="O26" s="11"/>
      <c r="P26" s="2">
        <v>0</v>
      </c>
      <c r="Q26" s="2"/>
      <c r="R26" s="19">
        <f t="shared" si="9"/>
        <v>0</v>
      </c>
      <c r="S26" s="2"/>
      <c r="T26" s="2"/>
      <c r="U26" s="2"/>
      <c r="V26" s="19">
        <f t="shared" si="10"/>
        <v>0</v>
      </c>
      <c r="W26" s="2"/>
      <c r="X26" s="2">
        <f t="shared" si="11"/>
        <v>0</v>
      </c>
      <c r="Y26" s="2"/>
      <c r="Z26" s="19">
        <f t="shared" si="12"/>
        <v>0</v>
      </c>
    </row>
    <row r="27" spans="1:26" s="24" customFormat="1" hidden="1" outlineLevel="1" x14ac:dyDescent="0.25">
      <c r="A27" s="44"/>
      <c r="B27" s="11" t="str">
        <f>CONCATENATE("          ", "5027", " - ", "PURCHASES @ COST-SCHOOL SUPPLI")</f>
        <v xml:space="preserve">          5027 - PURCHASES @ COST-SCHOOL SUPPLI</v>
      </c>
      <c r="C27" s="11"/>
      <c r="D27" s="2"/>
      <c r="E27" s="2"/>
      <c r="F27" s="19">
        <f t="shared" si="5"/>
        <v>0</v>
      </c>
      <c r="G27" s="2"/>
      <c r="H27" s="2"/>
      <c r="I27" s="2"/>
      <c r="J27" s="19">
        <f t="shared" si="6"/>
        <v>0</v>
      </c>
      <c r="K27" s="2"/>
      <c r="L27" s="2">
        <f t="shared" si="7"/>
        <v>0</v>
      </c>
      <c r="M27" s="2"/>
      <c r="N27" s="19">
        <f t="shared" si="8"/>
        <v>0</v>
      </c>
      <c r="O27" s="11"/>
      <c r="P27" s="2">
        <v>0</v>
      </c>
      <c r="Q27" s="2"/>
      <c r="R27" s="19">
        <f t="shared" si="9"/>
        <v>0</v>
      </c>
      <c r="S27" s="2"/>
      <c r="T27" s="2"/>
      <c r="U27" s="2"/>
      <c r="V27" s="19">
        <f t="shared" si="10"/>
        <v>0</v>
      </c>
      <c r="W27" s="2"/>
      <c r="X27" s="2">
        <f t="shared" si="11"/>
        <v>0</v>
      </c>
      <c r="Y27" s="2"/>
      <c r="Z27" s="19">
        <f t="shared" si="12"/>
        <v>0</v>
      </c>
    </row>
    <row r="28" spans="1:26" s="24" customFormat="1" hidden="1" outlineLevel="1" x14ac:dyDescent="0.25">
      <c r="A28" s="44"/>
      <c r="B28" s="11" t="str">
        <f>CONCATENATE("          ", "5028", " - ", "PURCHASES @ COST-ART/TECH")</f>
        <v xml:space="preserve">          5028 - PURCHASES @ COST-ART/TECH</v>
      </c>
      <c r="C28" s="11"/>
      <c r="D28" s="2"/>
      <c r="E28" s="2"/>
      <c r="F28" s="19">
        <f t="shared" si="5"/>
        <v>0</v>
      </c>
      <c r="G28" s="2"/>
      <c r="H28" s="2"/>
      <c r="I28" s="2"/>
      <c r="J28" s="19">
        <f t="shared" si="6"/>
        <v>0</v>
      </c>
      <c r="K28" s="2"/>
      <c r="L28" s="2">
        <f t="shared" si="7"/>
        <v>0</v>
      </c>
      <c r="M28" s="2"/>
      <c r="N28" s="19">
        <f t="shared" si="8"/>
        <v>0</v>
      </c>
      <c r="O28" s="11"/>
      <c r="P28" s="2">
        <v>0</v>
      </c>
      <c r="Q28" s="2"/>
      <c r="R28" s="19">
        <f t="shared" si="9"/>
        <v>0</v>
      </c>
      <c r="S28" s="2"/>
      <c r="T28" s="2"/>
      <c r="U28" s="2"/>
      <c r="V28" s="19">
        <f t="shared" si="10"/>
        <v>0</v>
      </c>
      <c r="W28" s="2"/>
      <c r="X28" s="2">
        <f t="shared" si="11"/>
        <v>0</v>
      </c>
      <c r="Y28" s="2"/>
      <c r="Z28" s="19">
        <f t="shared" si="12"/>
        <v>0</v>
      </c>
    </row>
    <row r="29" spans="1:26" s="24" customFormat="1" hidden="1" outlineLevel="1" x14ac:dyDescent="0.25">
      <c r="A29" s="44"/>
      <c r="B29" s="11" t="str">
        <f>CONCATENATE("          ", "5031", " - ", "PURCHASES @ COST-FOOD")</f>
        <v xml:space="preserve">          5031 - PURCHASES @ COST-FOOD</v>
      </c>
      <c r="C29" s="11"/>
      <c r="D29" s="2"/>
      <c r="E29" s="2"/>
      <c r="F29" s="19">
        <f t="shared" si="5"/>
        <v>0</v>
      </c>
      <c r="G29" s="2"/>
      <c r="H29" s="2"/>
      <c r="I29" s="2"/>
      <c r="J29" s="19">
        <f t="shared" si="6"/>
        <v>0</v>
      </c>
      <c r="K29" s="2"/>
      <c r="L29" s="2">
        <f t="shared" si="7"/>
        <v>0</v>
      </c>
      <c r="M29" s="2"/>
      <c r="N29" s="19">
        <f t="shared" si="8"/>
        <v>0</v>
      </c>
      <c r="O29" s="11"/>
      <c r="P29" s="2">
        <v>0</v>
      </c>
      <c r="Q29" s="2"/>
      <c r="R29" s="19">
        <f t="shared" si="9"/>
        <v>0</v>
      </c>
      <c r="S29" s="2"/>
      <c r="T29" s="2"/>
      <c r="U29" s="2"/>
      <c r="V29" s="19">
        <f t="shared" si="10"/>
        <v>0</v>
      </c>
      <c r="W29" s="2"/>
      <c r="X29" s="2">
        <f t="shared" si="11"/>
        <v>0</v>
      </c>
      <c r="Y29" s="2"/>
      <c r="Z29" s="19">
        <f t="shared" si="12"/>
        <v>0</v>
      </c>
    </row>
    <row r="30" spans="1:26" s="24" customFormat="1" hidden="1" outlineLevel="1" x14ac:dyDescent="0.25">
      <c r="A30" s="44"/>
      <c r="B30" s="11" t="str">
        <f>CONCATENATE("          ", "5040", " - ", "PURCHASES @ COST-LOGO CLOTHING")</f>
        <v xml:space="preserve">          5040 - PURCHASES @ COST-LOGO CLOTHING</v>
      </c>
      <c r="C30" s="11"/>
      <c r="D30" s="2"/>
      <c r="E30" s="2"/>
      <c r="F30" s="19">
        <f t="shared" si="5"/>
        <v>0</v>
      </c>
      <c r="G30" s="2"/>
      <c r="H30" s="2"/>
      <c r="I30" s="2"/>
      <c r="J30" s="19">
        <f t="shared" si="6"/>
        <v>0</v>
      </c>
      <c r="K30" s="2"/>
      <c r="L30" s="2">
        <f t="shared" si="7"/>
        <v>0</v>
      </c>
      <c r="M30" s="2"/>
      <c r="N30" s="19">
        <f t="shared" si="8"/>
        <v>0</v>
      </c>
      <c r="O30" s="11"/>
      <c r="P30" s="2">
        <v>0</v>
      </c>
      <c r="Q30" s="2"/>
      <c r="R30" s="19">
        <f t="shared" si="9"/>
        <v>0</v>
      </c>
      <c r="S30" s="2"/>
      <c r="T30" s="2"/>
      <c r="U30" s="2"/>
      <c r="V30" s="19">
        <f t="shared" si="10"/>
        <v>0</v>
      </c>
      <c r="W30" s="2"/>
      <c r="X30" s="2">
        <f t="shared" si="11"/>
        <v>0</v>
      </c>
      <c r="Y30" s="2"/>
      <c r="Z30" s="19">
        <f t="shared" si="12"/>
        <v>0</v>
      </c>
    </row>
    <row r="31" spans="1:26" s="24" customFormat="1" hidden="1" outlineLevel="1" x14ac:dyDescent="0.25">
      <c r="A31" s="44"/>
      <c r="B31" s="11" t="str">
        <f>CONCATENATE("          ", "5041", " - ", "PURCHASES @ COST-LOGO GIFTS")</f>
        <v xml:space="preserve">          5041 - PURCHASES @ COST-LOGO GIFTS</v>
      </c>
      <c r="C31" s="11"/>
      <c r="D31" s="2"/>
      <c r="E31" s="2"/>
      <c r="F31" s="19">
        <f t="shared" si="5"/>
        <v>0</v>
      </c>
      <c r="G31" s="2"/>
      <c r="H31" s="2"/>
      <c r="I31" s="2"/>
      <c r="J31" s="19">
        <f t="shared" si="6"/>
        <v>0</v>
      </c>
      <c r="K31" s="2"/>
      <c r="L31" s="2">
        <f t="shared" si="7"/>
        <v>0</v>
      </c>
      <c r="M31" s="2"/>
      <c r="N31" s="19">
        <f t="shared" si="8"/>
        <v>0</v>
      </c>
      <c r="O31" s="11"/>
      <c r="P31" s="2">
        <v>0</v>
      </c>
      <c r="Q31" s="2"/>
      <c r="R31" s="19">
        <f t="shared" si="9"/>
        <v>0</v>
      </c>
      <c r="S31" s="2"/>
      <c r="T31" s="2"/>
      <c r="U31" s="2"/>
      <c r="V31" s="19">
        <f t="shared" si="10"/>
        <v>0</v>
      </c>
      <c r="W31" s="2"/>
      <c r="X31" s="2">
        <f t="shared" si="11"/>
        <v>0</v>
      </c>
      <c r="Y31" s="2"/>
      <c r="Z31" s="19">
        <f t="shared" si="12"/>
        <v>0</v>
      </c>
    </row>
    <row r="32" spans="1:26" s="24" customFormat="1" hidden="1" outlineLevel="1" x14ac:dyDescent="0.25">
      <c r="A32" s="44"/>
      <c r="B32" s="11" t="str">
        <f>CONCATENATE("          ", "5042", " - ", "PURCHASES @ COST-EVERYDAY GIFT")</f>
        <v xml:space="preserve">          5042 - PURCHASES @ COST-EVERYDAY GIFT</v>
      </c>
      <c r="C32" s="11"/>
      <c r="D32" s="2"/>
      <c r="E32" s="2"/>
      <c r="F32" s="19">
        <f t="shared" si="5"/>
        <v>0</v>
      </c>
      <c r="G32" s="2"/>
      <c r="H32" s="2"/>
      <c r="I32" s="2"/>
      <c r="J32" s="19">
        <f t="shared" si="6"/>
        <v>0</v>
      </c>
      <c r="K32" s="2"/>
      <c r="L32" s="2">
        <f t="shared" si="7"/>
        <v>0</v>
      </c>
      <c r="M32" s="2"/>
      <c r="N32" s="19">
        <f t="shared" si="8"/>
        <v>0</v>
      </c>
      <c r="O32" s="11"/>
      <c r="P32" s="2">
        <v>0</v>
      </c>
      <c r="Q32" s="2"/>
      <c r="R32" s="19">
        <f t="shared" si="9"/>
        <v>0</v>
      </c>
      <c r="S32" s="2"/>
      <c r="T32" s="2"/>
      <c r="U32" s="2"/>
      <c r="V32" s="19">
        <f t="shared" si="10"/>
        <v>0</v>
      </c>
      <c r="W32" s="2"/>
      <c r="X32" s="2">
        <f t="shared" si="11"/>
        <v>0</v>
      </c>
      <c r="Y32" s="2"/>
      <c r="Z32" s="19">
        <f t="shared" si="12"/>
        <v>0</v>
      </c>
    </row>
    <row r="33" spans="1:26" s="24" customFormat="1" hidden="1" outlineLevel="1" x14ac:dyDescent="0.25">
      <c r="A33" s="44"/>
      <c r="B33" s="11" t="str">
        <f>CONCATENATE("          ", "5043", " - ", "PURCHASES @ COST-CARDS")</f>
        <v xml:space="preserve">          5043 - PURCHASES @ COST-CARDS</v>
      </c>
      <c r="C33" s="11"/>
      <c r="D33" s="2"/>
      <c r="E33" s="2"/>
      <c r="F33" s="19">
        <f t="shared" si="5"/>
        <v>0</v>
      </c>
      <c r="G33" s="2"/>
      <c r="H33" s="2"/>
      <c r="I33" s="2"/>
      <c r="J33" s="19">
        <f t="shared" si="6"/>
        <v>0</v>
      </c>
      <c r="K33" s="2"/>
      <c r="L33" s="2">
        <f t="shared" si="7"/>
        <v>0</v>
      </c>
      <c r="M33" s="2"/>
      <c r="N33" s="19">
        <f t="shared" si="8"/>
        <v>0</v>
      </c>
      <c r="O33" s="11"/>
      <c r="P33" s="2">
        <v>0</v>
      </c>
      <c r="Q33" s="2"/>
      <c r="R33" s="19">
        <f t="shared" si="9"/>
        <v>0</v>
      </c>
      <c r="S33" s="2"/>
      <c r="T33" s="2"/>
      <c r="U33" s="2"/>
      <c r="V33" s="19">
        <f t="shared" si="10"/>
        <v>0</v>
      </c>
      <c r="W33" s="2"/>
      <c r="X33" s="2">
        <f t="shared" si="11"/>
        <v>0</v>
      </c>
      <c r="Y33" s="2"/>
      <c r="Z33" s="19">
        <f t="shared" si="12"/>
        <v>0</v>
      </c>
    </row>
    <row r="34" spans="1:26" s="24" customFormat="1" hidden="1" outlineLevel="1" x14ac:dyDescent="0.25">
      <c r="A34" s="44"/>
      <c r="B34" s="11" t="str">
        <f>CONCATENATE("          ", "5044", " - ", "PURCHASES @ COST-ACCESSORIES")</f>
        <v xml:space="preserve">          5044 - PURCHASES @ COST-ACCESSORIES</v>
      </c>
      <c r="C34" s="11"/>
      <c r="D34" s="2"/>
      <c r="E34" s="2"/>
      <c r="F34" s="19">
        <f t="shared" si="5"/>
        <v>0</v>
      </c>
      <c r="G34" s="2"/>
      <c r="H34" s="2"/>
      <c r="I34" s="2"/>
      <c r="J34" s="19">
        <f t="shared" si="6"/>
        <v>0</v>
      </c>
      <c r="K34" s="2"/>
      <c r="L34" s="2">
        <f t="shared" si="7"/>
        <v>0</v>
      </c>
      <c r="M34" s="2"/>
      <c r="N34" s="19">
        <f t="shared" si="8"/>
        <v>0</v>
      </c>
      <c r="O34" s="11"/>
      <c r="P34" s="2">
        <v>0</v>
      </c>
      <c r="Q34" s="2"/>
      <c r="R34" s="19">
        <f t="shared" si="9"/>
        <v>0</v>
      </c>
      <c r="S34" s="2"/>
      <c r="T34" s="2"/>
      <c r="U34" s="2"/>
      <c r="V34" s="19">
        <f t="shared" si="10"/>
        <v>0</v>
      </c>
      <c r="W34" s="2"/>
      <c r="X34" s="2">
        <f t="shared" si="11"/>
        <v>0</v>
      </c>
      <c r="Y34" s="2"/>
      <c r="Z34" s="19">
        <f t="shared" si="12"/>
        <v>0</v>
      </c>
    </row>
    <row r="35" spans="1:26" s="24" customFormat="1" hidden="1" outlineLevel="1" x14ac:dyDescent="0.25">
      <c r="A35" s="44"/>
      <c r="B35" s="11" t="str">
        <f>CONCATENATE("          ", "5045", " - ", "PURCHASES @ COST-SPECIAL ORDER")</f>
        <v xml:space="preserve">          5045 - PURCHASES @ COST-SPECIAL ORDER</v>
      </c>
      <c r="C35" s="11"/>
      <c r="D35" s="2"/>
      <c r="E35" s="2"/>
      <c r="F35" s="19">
        <f t="shared" si="5"/>
        <v>0</v>
      </c>
      <c r="G35" s="2"/>
      <c r="H35" s="2"/>
      <c r="I35" s="2"/>
      <c r="J35" s="19">
        <f t="shared" si="6"/>
        <v>0</v>
      </c>
      <c r="K35" s="2"/>
      <c r="L35" s="2">
        <f t="shared" si="7"/>
        <v>0</v>
      </c>
      <c r="M35" s="2"/>
      <c r="N35" s="19">
        <f t="shared" si="8"/>
        <v>0</v>
      </c>
      <c r="O35" s="11"/>
      <c r="P35" s="2">
        <v>0</v>
      </c>
      <c r="Q35" s="2"/>
      <c r="R35" s="19">
        <f t="shared" si="9"/>
        <v>0</v>
      </c>
      <c r="S35" s="2"/>
      <c r="T35" s="2"/>
      <c r="U35" s="2"/>
      <c r="V35" s="19">
        <f t="shared" si="10"/>
        <v>0</v>
      </c>
      <c r="W35" s="2"/>
      <c r="X35" s="2">
        <f t="shared" si="11"/>
        <v>0</v>
      </c>
      <c r="Y35" s="2"/>
      <c r="Z35" s="19">
        <f t="shared" si="12"/>
        <v>0</v>
      </c>
    </row>
    <row r="36" spans="1:26" s="24" customFormat="1" hidden="1" outlineLevel="1" x14ac:dyDescent="0.25">
      <c r="A36" s="44"/>
      <c r="B36" s="11" t="str">
        <f>CONCATENATE("          ", "5200", " - ", "PURCHASES OFFSET")</f>
        <v xml:space="preserve">          5200 - PURCHASES OFFSET</v>
      </c>
      <c r="C36" s="11"/>
      <c r="D36" s="2">
        <v>-764729.36</v>
      </c>
      <c r="E36" s="2"/>
      <c r="F36" s="19">
        <f t="shared" si="5"/>
        <v>-1.3893465645451064</v>
      </c>
      <c r="G36" s="2"/>
      <c r="H36" s="2"/>
      <c r="I36" s="2"/>
      <c r="J36" s="19">
        <f t="shared" si="6"/>
        <v>0</v>
      </c>
      <c r="K36" s="2"/>
      <c r="L36" s="2">
        <f t="shared" si="7"/>
        <v>-764729.36</v>
      </c>
      <c r="M36" s="2"/>
      <c r="N36" s="19">
        <f t="shared" si="8"/>
        <v>0</v>
      </c>
      <c r="O36" s="11"/>
      <c r="P36" s="2">
        <v>-2112354.9900000002</v>
      </c>
      <c r="Q36" s="2"/>
      <c r="R36" s="19">
        <f t="shared" si="9"/>
        <v>-0.73648203381539168</v>
      </c>
      <c r="S36" s="2"/>
      <c r="T36" s="2"/>
      <c r="U36" s="2"/>
      <c r="V36" s="19">
        <f t="shared" si="10"/>
        <v>0</v>
      </c>
      <c r="W36" s="2"/>
      <c r="X36" s="2">
        <f t="shared" si="11"/>
        <v>-2112354.9900000002</v>
      </c>
      <c r="Y36" s="2"/>
      <c r="Z36" s="19">
        <f t="shared" si="12"/>
        <v>0</v>
      </c>
    </row>
    <row r="37" spans="1:26" s="24" customFormat="1" hidden="1" outlineLevel="1" x14ac:dyDescent="0.25">
      <c r="A37" s="44"/>
      <c r="B37" s="11" t="str">
        <f>CONCATENATE("          ", "5300", " - ", "COG$ OFFSET")</f>
        <v xml:space="preserve">          5300 - COG$ OFFSET</v>
      </c>
      <c r="C37" s="11"/>
      <c r="D37" s="2">
        <v>308234.86</v>
      </c>
      <c r="E37" s="2"/>
      <c r="F37" s="19">
        <f t="shared" si="5"/>
        <v>0.55999555687784996</v>
      </c>
      <c r="G37" s="2"/>
      <c r="H37" s="2"/>
      <c r="I37" s="2"/>
      <c r="J37" s="19">
        <f t="shared" si="6"/>
        <v>0</v>
      </c>
      <c r="K37" s="2"/>
      <c r="L37" s="2">
        <f t="shared" si="7"/>
        <v>308234.86</v>
      </c>
      <c r="M37" s="2"/>
      <c r="N37" s="19">
        <f t="shared" si="8"/>
        <v>0</v>
      </c>
      <c r="O37" s="11"/>
      <c r="P37" s="2">
        <v>1562332.81</v>
      </c>
      <c r="Q37" s="2"/>
      <c r="R37" s="19">
        <f t="shared" si="9"/>
        <v>0.54471433582539819</v>
      </c>
      <c r="S37" s="2"/>
      <c r="T37" s="2"/>
      <c r="U37" s="2"/>
      <c r="V37" s="19">
        <f t="shared" si="10"/>
        <v>0</v>
      </c>
      <c r="W37" s="2"/>
      <c r="X37" s="2">
        <f t="shared" si="11"/>
        <v>1562332.81</v>
      </c>
      <c r="Y37" s="2"/>
      <c r="Z37" s="19">
        <f t="shared" si="12"/>
        <v>0</v>
      </c>
    </row>
    <row r="38" spans="1:26" s="24" customFormat="1" hidden="1" outlineLevel="1" x14ac:dyDescent="0.25">
      <c r="A38" s="44"/>
      <c r="B38" s="11" t="str">
        <f>CONCATENATE("          ", "5500", " - ", "FREIGHT-IN")</f>
        <v xml:space="preserve">          5500 - FREIGHT-IN</v>
      </c>
      <c r="C38" s="11"/>
      <c r="D38" s="2">
        <v>22295.17</v>
      </c>
      <c r="E38" s="2"/>
      <c r="F38" s="19">
        <f t="shared" si="5"/>
        <v>4.0505464371668846E-2</v>
      </c>
      <c r="G38" s="2"/>
      <c r="H38" s="2"/>
      <c r="I38" s="2"/>
      <c r="J38" s="19">
        <f t="shared" si="6"/>
        <v>0</v>
      </c>
      <c r="K38" s="2"/>
      <c r="L38" s="2">
        <f t="shared" si="7"/>
        <v>22295.17</v>
      </c>
      <c r="M38" s="2"/>
      <c r="N38" s="19">
        <f t="shared" si="8"/>
        <v>0</v>
      </c>
      <c r="O38" s="11"/>
      <c r="P38" s="2">
        <v>49635.96</v>
      </c>
      <c r="Q38" s="2"/>
      <c r="R38" s="19">
        <f t="shared" si="9"/>
        <v>1.7305799898330261E-2</v>
      </c>
      <c r="S38" s="2"/>
      <c r="T38" s="2"/>
      <c r="U38" s="2"/>
      <c r="V38" s="19">
        <f t="shared" si="10"/>
        <v>0</v>
      </c>
      <c r="W38" s="2"/>
      <c r="X38" s="2">
        <f t="shared" si="11"/>
        <v>49635.96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"5501", " - ", "FREIGHT-IN-NEW TEXT")</f>
        <v xml:space="preserve">          5501 - FREIGHT-IN-NEW TEXT</v>
      </c>
      <c r="C39" s="11"/>
      <c r="D39" s="2">
        <v>0</v>
      </c>
      <c r="E39" s="2"/>
      <c r="F39" s="19">
        <f t="shared" si="5"/>
        <v>0</v>
      </c>
      <c r="G39" s="2"/>
      <c r="H39" s="2"/>
      <c r="I39" s="2"/>
      <c r="J39" s="19">
        <f t="shared" si="6"/>
        <v>0</v>
      </c>
      <c r="K39" s="2"/>
      <c r="L39" s="2">
        <f t="shared" si="7"/>
        <v>0</v>
      </c>
      <c r="M39" s="2"/>
      <c r="N39" s="19">
        <f t="shared" si="8"/>
        <v>0</v>
      </c>
      <c r="O39" s="11"/>
      <c r="P39" s="2">
        <v>0</v>
      </c>
      <c r="Q39" s="2"/>
      <c r="R39" s="19">
        <f t="shared" si="9"/>
        <v>0</v>
      </c>
      <c r="S39" s="2"/>
      <c r="T39" s="2"/>
      <c r="U39" s="2"/>
      <c r="V39" s="19">
        <f t="shared" si="10"/>
        <v>0</v>
      </c>
      <c r="W39" s="2"/>
      <c r="X39" s="2">
        <f t="shared" si="11"/>
        <v>0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"5502", " - ", "FREIGHT-IN-USED TEXT")</f>
        <v xml:space="preserve">          5502 - FREIGHT-IN-USED TEXT</v>
      </c>
      <c r="C40" s="11"/>
      <c r="D40" s="2"/>
      <c r="E40" s="2"/>
      <c r="F40" s="19">
        <f t="shared" si="5"/>
        <v>0</v>
      </c>
      <c r="G40" s="2"/>
      <c r="H40" s="2"/>
      <c r="I40" s="2"/>
      <c r="J40" s="19">
        <f t="shared" si="6"/>
        <v>0</v>
      </c>
      <c r="K40" s="2"/>
      <c r="L40" s="2">
        <f t="shared" si="7"/>
        <v>0</v>
      </c>
      <c r="M40" s="2"/>
      <c r="N40" s="19">
        <f t="shared" si="8"/>
        <v>0</v>
      </c>
      <c r="O40" s="11"/>
      <c r="P40" s="2">
        <v>0</v>
      </c>
      <c r="Q40" s="2"/>
      <c r="R40" s="19">
        <f t="shared" si="9"/>
        <v>0</v>
      </c>
      <c r="S40" s="2"/>
      <c r="T40" s="2"/>
      <c r="U40" s="2"/>
      <c r="V40" s="19">
        <f t="shared" si="10"/>
        <v>0</v>
      </c>
      <c r="W40" s="2"/>
      <c r="X40" s="2">
        <f t="shared" si="11"/>
        <v>0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"5518", " - ", "FREIGHT-IN-STUDY GUIDES")</f>
        <v xml:space="preserve">          5518 - FREIGHT-IN-STUDY GUIDES</v>
      </c>
      <c r="C41" s="11"/>
      <c r="D41" s="2"/>
      <c r="E41" s="2"/>
      <c r="F41" s="19">
        <f t="shared" si="5"/>
        <v>0</v>
      </c>
      <c r="G41" s="2"/>
      <c r="H41" s="2"/>
      <c r="I41" s="2"/>
      <c r="J41" s="19">
        <f t="shared" si="6"/>
        <v>0</v>
      </c>
      <c r="K41" s="2"/>
      <c r="L41" s="2">
        <f t="shared" si="7"/>
        <v>0</v>
      </c>
      <c r="M41" s="2"/>
      <c r="N41" s="19">
        <f t="shared" si="8"/>
        <v>0</v>
      </c>
      <c r="O41" s="11"/>
      <c r="P41" s="2">
        <v>0</v>
      </c>
      <c r="Q41" s="2"/>
      <c r="R41" s="19">
        <f t="shared" si="9"/>
        <v>0</v>
      </c>
      <c r="S41" s="2"/>
      <c r="T41" s="2"/>
      <c r="U41" s="2"/>
      <c r="V41" s="19">
        <f t="shared" si="10"/>
        <v>0</v>
      </c>
      <c r="W41" s="2"/>
      <c r="X41" s="2">
        <f t="shared" si="11"/>
        <v>0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"5527", " - ", "FREIGHT-IN-SCHOOL SUPPLIES")</f>
        <v xml:space="preserve">          5527 - FREIGHT-IN-SCHOOL SUPPLIES</v>
      </c>
      <c r="C42" s="11"/>
      <c r="D42" s="2"/>
      <c r="E42" s="2"/>
      <c r="F42" s="19">
        <f t="shared" si="5"/>
        <v>0</v>
      </c>
      <c r="G42" s="2"/>
      <c r="H42" s="2"/>
      <c r="I42" s="2"/>
      <c r="J42" s="19">
        <f t="shared" si="6"/>
        <v>0</v>
      </c>
      <c r="K42" s="2"/>
      <c r="L42" s="2">
        <f t="shared" si="7"/>
        <v>0</v>
      </c>
      <c r="M42" s="2"/>
      <c r="N42" s="19">
        <f t="shared" si="8"/>
        <v>0</v>
      </c>
      <c r="O42" s="11"/>
      <c r="P42" s="2">
        <v>0</v>
      </c>
      <c r="Q42" s="2"/>
      <c r="R42" s="19">
        <f t="shared" si="9"/>
        <v>0</v>
      </c>
      <c r="S42" s="2"/>
      <c r="T42" s="2"/>
      <c r="U42" s="2"/>
      <c r="V42" s="19">
        <f t="shared" si="10"/>
        <v>0</v>
      </c>
      <c r="W42" s="2"/>
      <c r="X42" s="2">
        <f t="shared" si="11"/>
        <v>0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"5528", " - ", "FREIGHT-IN-ART/TECH")</f>
        <v xml:space="preserve">          5528 - FREIGHT-IN-ART/TECH</v>
      </c>
      <c r="C43" s="11"/>
      <c r="D43" s="2"/>
      <c r="E43" s="2"/>
      <c r="F43" s="19">
        <f t="shared" si="5"/>
        <v>0</v>
      </c>
      <c r="G43" s="2"/>
      <c r="H43" s="2"/>
      <c r="I43" s="2"/>
      <c r="J43" s="19">
        <f t="shared" si="6"/>
        <v>0</v>
      </c>
      <c r="K43" s="2"/>
      <c r="L43" s="2">
        <f t="shared" si="7"/>
        <v>0</v>
      </c>
      <c r="M43" s="2"/>
      <c r="N43" s="19">
        <f t="shared" si="8"/>
        <v>0</v>
      </c>
      <c r="O43" s="11"/>
      <c r="P43" s="2">
        <v>0</v>
      </c>
      <c r="Q43" s="2"/>
      <c r="R43" s="19">
        <f t="shared" si="9"/>
        <v>0</v>
      </c>
      <c r="S43" s="2"/>
      <c r="T43" s="2"/>
      <c r="U43" s="2"/>
      <c r="V43" s="19">
        <f t="shared" si="10"/>
        <v>0</v>
      </c>
      <c r="W43" s="2"/>
      <c r="X43" s="2">
        <f t="shared" si="11"/>
        <v>0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"5540", " - ", "FREIGHT-IN-LOGO CLOTHING")</f>
        <v xml:space="preserve">          5540 - FREIGHT-IN-LOGO CLOTHING</v>
      </c>
      <c r="C44" s="11"/>
      <c r="D44" s="2"/>
      <c r="E44" s="2"/>
      <c r="F44" s="19">
        <f t="shared" si="5"/>
        <v>0</v>
      </c>
      <c r="G44" s="2"/>
      <c r="H44" s="2"/>
      <c r="I44" s="2"/>
      <c r="J44" s="19">
        <f t="shared" si="6"/>
        <v>0</v>
      </c>
      <c r="K44" s="2"/>
      <c r="L44" s="2">
        <f t="shared" si="7"/>
        <v>0</v>
      </c>
      <c r="M44" s="2"/>
      <c r="N44" s="19">
        <f t="shared" si="8"/>
        <v>0</v>
      </c>
      <c r="O44" s="11"/>
      <c r="P44" s="2">
        <v>0</v>
      </c>
      <c r="Q44" s="2"/>
      <c r="R44" s="19">
        <f t="shared" si="9"/>
        <v>0</v>
      </c>
      <c r="S44" s="2"/>
      <c r="T44" s="2"/>
      <c r="U44" s="2"/>
      <c r="V44" s="19">
        <f t="shared" si="10"/>
        <v>0</v>
      </c>
      <c r="W44" s="2"/>
      <c r="X44" s="2">
        <f t="shared" si="11"/>
        <v>0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"5541", " - ", "FREIGHT-IN-LOGO GIFTS")</f>
        <v xml:space="preserve">          5541 - FREIGHT-IN-LOGO GIFTS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0</v>
      </c>
      <c r="Q45" s="2"/>
      <c r="R45" s="19">
        <f t="shared" si="9"/>
        <v>0</v>
      </c>
      <c r="S45" s="2"/>
      <c r="T45" s="2"/>
      <c r="U45" s="2"/>
      <c r="V45" s="19">
        <f t="shared" si="10"/>
        <v>0</v>
      </c>
      <c r="W45" s="2"/>
      <c r="X45" s="2">
        <f t="shared" si="11"/>
        <v>0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"5542", " - ", "FREIGHT-IN-EVERYDAY GIFTS")</f>
        <v xml:space="preserve">          5542 - FREIGHT-IN-EVERYDAY GIFTS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0</v>
      </c>
      <c r="Q46" s="2"/>
      <c r="R46" s="19">
        <f t="shared" si="9"/>
        <v>0</v>
      </c>
      <c r="S46" s="2"/>
      <c r="T46" s="2"/>
      <c r="U46" s="2"/>
      <c r="V46" s="19">
        <f t="shared" si="10"/>
        <v>0</v>
      </c>
      <c r="W46" s="2"/>
      <c r="X46" s="2">
        <f t="shared" si="11"/>
        <v>0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"5544", " - ", "FREIGHT-IN-ACCESSORIES")</f>
        <v xml:space="preserve">          5544 - FREIGHT-IN-ACCESSORIES</v>
      </c>
      <c r="C47" s="11"/>
      <c r="D47" s="2"/>
      <c r="E47" s="2"/>
      <c r="F47" s="19">
        <f t="shared" si="5"/>
        <v>0</v>
      </c>
      <c r="G47" s="2"/>
      <c r="H47" s="2"/>
      <c r="I47" s="2"/>
      <c r="J47" s="19">
        <f t="shared" si="6"/>
        <v>0</v>
      </c>
      <c r="K47" s="2"/>
      <c r="L47" s="2">
        <f t="shared" si="7"/>
        <v>0</v>
      </c>
      <c r="M47" s="2"/>
      <c r="N47" s="19">
        <f t="shared" si="8"/>
        <v>0</v>
      </c>
      <c r="O47" s="11"/>
      <c r="P47" s="2">
        <v>0</v>
      </c>
      <c r="Q47" s="2"/>
      <c r="R47" s="19">
        <f t="shared" si="9"/>
        <v>0</v>
      </c>
      <c r="S47" s="2"/>
      <c r="T47" s="2"/>
      <c r="U47" s="2"/>
      <c r="V47" s="19">
        <f t="shared" si="10"/>
        <v>0</v>
      </c>
      <c r="W47" s="2"/>
      <c r="X47" s="2">
        <f t="shared" si="11"/>
        <v>0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"5545", " - ", "FREIGHT-IN-SPECIAL ORDERS")</f>
        <v xml:space="preserve">          5545 - FREIGHT-IN-SPECIAL ORDERS</v>
      </c>
      <c r="C48" s="11"/>
      <c r="D48" s="2"/>
      <c r="E48" s="2"/>
      <c r="F48" s="19">
        <f t="shared" si="5"/>
        <v>0</v>
      </c>
      <c r="G48" s="2"/>
      <c r="H48" s="2"/>
      <c r="I48" s="2"/>
      <c r="J48" s="19">
        <f t="shared" si="6"/>
        <v>0</v>
      </c>
      <c r="K48" s="2"/>
      <c r="L48" s="2">
        <f t="shared" si="7"/>
        <v>0</v>
      </c>
      <c r="M48" s="2"/>
      <c r="N48" s="19">
        <f t="shared" si="8"/>
        <v>0</v>
      </c>
      <c r="O48" s="11"/>
      <c r="P48" s="2">
        <v>0</v>
      </c>
      <c r="Q48" s="2"/>
      <c r="R48" s="19">
        <f t="shared" si="9"/>
        <v>0</v>
      </c>
      <c r="S48" s="2"/>
      <c r="T48" s="2"/>
      <c r="U48" s="2"/>
      <c r="V48" s="19">
        <f t="shared" si="10"/>
        <v>0</v>
      </c>
      <c r="W48" s="2"/>
      <c r="X48" s="2">
        <f t="shared" si="11"/>
        <v>0</v>
      </c>
      <c r="Y48" s="2"/>
      <c r="Z48" s="19">
        <f t="shared" si="12"/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6" t="s">
        <v>108</v>
      </c>
      <c r="C50" s="26"/>
      <c r="D50" s="21">
        <f>D12-D21</f>
        <v>239744.55999999988</v>
      </c>
      <c r="E50" s="13"/>
      <c r="F50" s="20">
        <f>IF(D$12=0,0,D50/D$12)</f>
        <v>0.43556361011741196</v>
      </c>
      <c r="G50" s="13"/>
      <c r="H50" s="21">
        <f>H12-H21</f>
        <v>193858</v>
      </c>
      <c r="I50" s="13"/>
      <c r="J50" s="20">
        <f>IF(H$12=0,0,H50/H$12)</f>
        <v>0.50670834825384292</v>
      </c>
      <c r="K50" s="15"/>
      <c r="L50" s="21">
        <f>+D50-H50</f>
        <v>45886.559999999881</v>
      </c>
      <c r="M50" s="15"/>
      <c r="N50" s="20">
        <f>IF(H50=0,0,L50/H50)</f>
        <v>0.23670191583530151</v>
      </c>
      <c r="O50" s="25"/>
      <c r="P50" s="21">
        <f>P12-P21</f>
        <v>1052418.17</v>
      </c>
      <c r="Q50" s="13"/>
      <c r="R50" s="20">
        <f>IF(P$12=0,0,P50/P$12)</f>
        <v>0.36693031139897203</v>
      </c>
      <c r="S50" s="13"/>
      <c r="T50" s="21">
        <f>T12-T21</f>
        <v>1522556</v>
      </c>
      <c r="U50" s="13"/>
      <c r="V50" s="20">
        <f>IF(T$12=0,0,T50/T$12)</f>
        <v>0.35634708638167595</v>
      </c>
      <c r="W50" s="15"/>
      <c r="X50" s="21">
        <f>+P50-T50</f>
        <v>-470137.83000000007</v>
      </c>
      <c r="Y50" s="15"/>
      <c r="Z50" s="20">
        <f>IF(T50=0,0,X50/T50)</f>
        <v>-0.30878196269956576</v>
      </c>
    </row>
    <row r="51" spans="1:26" x14ac:dyDescent="0.25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25">
      <c r="A52" s="10"/>
      <c r="B52" s="25" t="s">
        <v>295</v>
      </c>
      <c r="C52" s="10"/>
      <c r="D52" s="22">
        <f>SUM(OSRRefD22x_0)</f>
        <v>331202.60000000003</v>
      </c>
      <c r="E52" s="22"/>
      <c r="F52" s="34">
        <f t="shared" ref="F52:F63" si="13">IF(D$12=0,0,D52/D$12)</f>
        <v>0.60172293434425883</v>
      </c>
      <c r="G52" s="22"/>
      <c r="H52" s="22">
        <f>SUM(OSRRefH22x_0)</f>
        <v>370292.28318075638</v>
      </c>
      <c r="I52" s="22"/>
      <c r="J52" s="34">
        <f t="shared" ref="J52:J63" si="14">IF(H$12=0,0,H52/H$12)</f>
        <v>0.96787437805850329</v>
      </c>
      <c r="K52" s="4"/>
      <c r="L52" s="22">
        <f t="shared" ref="L52:L63" si="15">+D52-H52</f>
        <v>-39089.683180756343</v>
      </c>
      <c r="M52" s="4"/>
      <c r="N52" s="34">
        <f t="shared" ref="N52:N63" si="16">IF(H52=0,0,L52/H52)</f>
        <v>-0.10556440130207873</v>
      </c>
      <c r="O52" s="10"/>
      <c r="P52" s="22">
        <f>SUM(OSRRefP22x_0)</f>
        <v>1326453.5899999994</v>
      </c>
      <c r="Q52" s="22"/>
      <c r="R52" s="34">
        <f t="shared" ref="R52:R63" si="17">IF(P$12=0,0,P52/P$12)</f>
        <v>0.46247398867598816</v>
      </c>
      <c r="S52" s="22"/>
      <c r="T52" s="22">
        <f>SUM(OSRRefT22x_0)</f>
        <v>1440842.8060059154</v>
      </c>
      <c r="U52" s="22"/>
      <c r="V52" s="34">
        <f t="shared" ref="V52:V63" si="18">IF(T$12=0,0,T52/T$12)</f>
        <v>0.33722249681076183</v>
      </c>
      <c r="W52" s="4"/>
      <c r="X52" s="22">
        <f t="shared" ref="X52:X63" si="19">+P52-T52</f>
        <v>-114389.21600591601</v>
      </c>
      <c r="Y52" s="4"/>
      <c r="Z52" s="34">
        <f t="shared" ref="Z52:Z63" si="20">IF(T52=0,0,X52/T52)</f>
        <v>-7.9390489739132847E-2</v>
      </c>
    </row>
    <row r="53" spans="1:26" s="28" customFormat="1" outlineLevel="1" collapsed="1" x14ac:dyDescent="0.25">
      <c r="A53" s="29"/>
      <c r="B53" s="14" t="str">
        <f>CONCATENATE("     ","*Benefits                                         ")</f>
        <v xml:space="preserve">     *Benefits                                         </v>
      </c>
      <c r="C53" s="14"/>
      <c r="D53" s="1">
        <f>SUM(OSRRefD22_0x_0)</f>
        <v>60225.909999999996</v>
      </c>
      <c r="E53" s="1"/>
      <c r="F53" s="5">
        <f t="shared" si="13"/>
        <v>0.10941735146026402</v>
      </c>
      <c r="G53" s="1"/>
      <c r="H53" s="1">
        <f>SUM(OSRRefH22_0x_0)</f>
        <v>49885.036826112177</v>
      </c>
      <c r="I53" s="1"/>
      <c r="J53" s="5">
        <f t="shared" si="14"/>
        <v>0.13039010313085572</v>
      </c>
      <c r="K53" s="1"/>
      <c r="L53" s="1">
        <f t="shared" si="15"/>
        <v>10340.87317388782</v>
      </c>
      <c r="M53" s="1"/>
      <c r="N53" s="5">
        <f t="shared" si="16"/>
        <v>0.20729408720161394</v>
      </c>
      <c r="O53" s="14"/>
      <c r="P53" s="1">
        <f>SUM(OSRRefP22_0x_0)</f>
        <v>205838.87</v>
      </c>
      <c r="Q53" s="1"/>
      <c r="R53" s="5">
        <f t="shared" si="17"/>
        <v>7.1766644495611973E-2</v>
      </c>
      <c r="S53" s="1"/>
      <c r="T53" s="1">
        <f>SUM(OSRRefT22_0x_0)</f>
        <v>204499.71009073482</v>
      </c>
      <c r="U53" s="1"/>
      <c r="V53" s="5">
        <f t="shared" si="18"/>
        <v>4.7862197421133124E-2</v>
      </c>
      <c r="W53" s="1"/>
      <c r="X53" s="1">
        <f t="shared" si="19"/>
        <v>1339.1599092651741</v>
      </c>
      <c r="Y53" s="1"/>
      <c r="Z53" s="5">
        <f t="shared" si="20"/>
        <v>6.5484684974418785E-3</v>
      </c>
    </row>
    <row r="54" spans="1:26" s="24" customFormat="1" hidden="1" outlineLevel="2" x14ac:dyDescent="0.25">
      <c r="A54" s="27"/>
      <c r="B54" s="11" t="str">
        <f>CONCATENATE("          ", "6111", " - ", "F.I.C.A.")</f>
        <v xml:space="preserve">          6111 - F.I.C.A.</v>
      </c>
      <c r="C54" s="11"/>
      <c r="D54" s="7">
        <v>10663.18</v>
      </c>
      <c r="E54" s="2"/>
      <c r="F54" s="6">
        <f t="shared" si="13"/>
        <v>1.9372673883118714E-2</v>
      </c>
      <c r="G54" s="2"/>
      <c r="H54" s="7">
        <v>10817.335675840101</v>
      </c>
      <c r="I54" s="2"/>
      <c r="J54" s="6">
        <f t="shared" si="14"/>
        <v>2.8274480768460963E-2</v>
      </c>
      <c r="K54" s="2"/>
      <c r="L54" s="7">
        <f t="shared" si="15"/>
        <v>-154.15567584010023</v>
      </c>
      <c r="M54" s="2"/>
      <c r="N54" s="6">
        <f t="shared" si="16"/>
        <v>-1.4250798945289097E-2</v>
      </c>
      <c r="O54" s="11"/>
      <c r="P54" s="7">
        <v>40210.71</v>
      </c>
      <c r="Q54" s="2"/>
      <c r="R54" s="6">
        <f t="shared" si="17"/>
        <v>1.4019644246425125E-2</v>
      </c>
      <c r="S54" s="2"/>
      <c r="T54" s="7">
        <v>42866.909513216699</v>
      </c>
      <c r="U54" s="2"/>
      <c r="V54" s="6">
        <f t="shared" si="18"/>
        <v>1.0032798995387832E-2</v>
      </c>
      <c r="W54" s="2"/>
      <c r="X54" s="7">
        <f t="shared" si="19"/>
        <v>-2656.1995132166994</v>
      </c>
      <c r="Y54" s="2"/>
      <c r="Z54" s="6">
        <f t="shared" si="20"/>
        <v>-6.196386778005869E-2</v>
      </c>
    </row>
    <row r="55" spans="1:26" s="24" customFormat="1" hidden="1" outlineLevel="2" x14ac:dyDescent="0.25">
      <c r="A55" s="27"/>
      <c r="B55" s="11" t="str">
        <f>CONCATENATE("          ", "6112", " - ", "COMPENSATION INSURANCE")</f>
        <v xml:space="preserve">          6112 - COMPENSATION INSURANCE</v>
      </c>
      <c r="C55" s="11"/>
      <c r="D55" s="7">
        <v>3295.05</v>
      </c>
      <c r="E55" s="2"/>
      <c r="F55" s="6">
        <f t="shared" si="13"/>
        <v>5.9863876515795769E-3</v>
      </c>
      <c r="G55" s="2"/>
      <c r="H55" s="7">
        <v>2772.8633443499998</v>
      </c>
      <c r="I55" s="2"/>
      <c r="J55" s="6">
        <f t="shared" si="14"/>
        <v>7.2477432200332998E-3</v>
      </c>
      <c r="K55" s="2"/>
      <c r="L55" s="7">
        <f t="shared" si="15"/>
        <v>522.18665565000038</v>
      </c>
      <c r="M55" s="2"/>
      <c r="N55" s="6">
        <f t="shared" si="16"/>
        <v>0.18832037168871321</v>
      </c>
      <c r="O55" s="11"/>
      <c r="P55" s="7">
        <v>10293.620000000001</v>
      </c>
      <c r="Q55" s="2"/>
      <c r="R55" s="6">
        <f t="shared" si="17"/>
        <v>3.5889167440188597E-3</v>
      </c>
      <c r="S55" s="2"/>
      <c r="T55" s="7">
        <v>11988.921339660001</v>
      </c>
      <c r="U55" s="2"/>
      <c r="V55" s="6">
        <f t="shared" si="18"/>
        <v>2.8059507750433747E-3</v>
      </c>
      <c r="W55" s="2"/>
      <c r="X55" s="7">
        <f t="shared" si="19"/>
        <v>-1695.3013396599999</v>
      </c>
      <c r="Y55" s="2"/>
      <c r="Z55" s="6">
        <f t="shared" si="20"/>
        <v>-0.14140566041182132</v>
      </c>
    </row>
    <row r="56" spans="1:26" s="24" customFormat="1" hidden="1" outlineLevel="2" x14ac:dyDescent="0.25">
      <c r="A56" s="27"/>
      <c r="B56" s="11" t="str">
        <f>CONCATENATE("          ", "6113", " - ", "GROUP INSURANCE")</f>
        <v xml:space="preserve">          6113 - GROUP INSURANCE</v>
      </c>
      <c r="C56" s="11"/>
      <c r="D56" s="7">
        <v>18566.900000000001</v>
      </c>
      <c r="E56" s="2"/>
      <c r="F56" s="6">
        <f t="shared" si="13"/>
        <v>3.3732010405946145E-2</v>
      </c>
      <c r="G56" s="2"/>
      <c r="H56" s="7">
        <v>16784.1538461538</v>
      </c>
      <c r="I56" s="2"/>
      <c r="J56" s="6">
        <f t="shared" si="14"/>
        <v>4.3870621136207828E-2</v>
      </c>
      <c r="K56" s="2"/>
      <c r="L56" s="7">
        <f t="shared" si="15"/>
        <v>1782.7461538462012</v>
      </c>
      <c r="M56" s="2"/>
      <c r="N56" s="6">
        <f t="shared" si="16"/>
        <v>0.10621602793844322</v>
      </c>
      <c r="O56" s="11"/>
      <c r="P56" s="7">
        <v>72281.11</v>
      </c>
      <c r="Q56" s="2"/>
      <c r="R56" s="6">
        <f t="shared" si="17"/>
        <v>2.5201132930423802E-2</v>
      </c>
      <c r="S56" s="2"/>
      <c r="T56" s="7">
        <v>69942.653846153902</v>
      </c>
      <c r="U56" s="2"/>
      <c r="V56" s="6">
        <f t="shared" si="18"/>
        <v>1.6369749888923011E-2</v>
      </c>
      <c r="W56" s="2"/>
      <c r="X56" s="7">
        <f t="shared" si="19"/>
        <v>2338.4561538460985</v>
      </c>
      <c r="Y56" s="2"/>
      <c r="Z56" s="6">
        <f t="shared" si="20"/>
        <v>3.3433906568512174E-2</v>
      </c>
    </row>
    <row r="57" spans="1:26" s="24" customFormat="1" hidden="1" outlineLevel="2" x14ac:dyDescent="0.25">
      <c r="A57" s="27"/>
      <c r="B57" s="11" t="str">
        <f>CONCATENATE("          ", "6114", " - ", "STATE UNEMPLOYMENT INSURANCE")</f>
        <v xml:space="preserve">          6114 - STATE UNEMPLOYMENT INSURANCE</v>
      </c>
      <c r="C57" s="11"/>
      <c r="D57" s="7">
        <v>592.89</v>
      </c>
      <c r="E57" s="2"/>
      <c r="F57" s="6">
        <f t="shared" si="13"/>
        <v>1.0771519020181834E-3</v>
      </c>
      <c r="G57" s="2"/>
      <c r="H57" s="7">
        <v>373.27006558557702</v>
      </c>
      <c r="I57" s="2"/>
      <c r="J57" s="6">
        <f t="shared" si="14"/>
        <v>9.7565774115832905E-4</v>
      </c>
      <c r="K57" s="2"/>
      <c r="L57" s="7">
        <f t="shared" si="15"/>
        <v>219.61993441442297</v>
      </c>
      <c r="M57" s="2"/>
      <c r="N57" s="6">
        <f t="shared" si="16"/>
        <v>0.58836739043054131</v>
      </c>
      <c r="O57" s="11"/>
      <c r="P57" s="7">
        <v>1860.18</v>
      </c>
      <c r="Q57" s="2"/>
      <c r="R57" s="6">
        <f t="shared" si="17"/>
        <v>6.485600934257339E-4</v>
      </c>
      <c r="S57" s="2"/>
      <c r="T57" s="7">
        <v>1613.8932572619201</v>
      </c>
      <c r="U57" s="2"/>
      <c r="V57" s="6">
        <f t="shared" si="18"/>
        <v>3.7772414279429973E-4</v>
      </c>
      <c r="W57" s="2"/>
      <c r="X57" s="7">
        <f t="shared" si="19"/>
        <v>246.28674273807997</v>
      </c>
      <c r="Y57" s="2"/>
      <c r="Z57" s="6">
        <f t="shared" si="20"/>
        <v>0.15260410911928723</v>
      </c>
    </row>
    <row r="58" spans="1:26" s="24" customFormat="1" hidden="1" outlineLevel="2" x14ac:dyDescent="0.25">
      <c r="A58" s="27"/>
      <c r="B58" s="11" t="str">
        <f>CONCATENATE("          ", "6115", " - ", "P.E.R.S.")</f>
        <v xml:space="preserve">          6115 - P.E.R.S.</v>
      </c>
      <c r="C58" s="11"/>
      <c r="D58" s="7">
        <v>9444.34</v>
      </c>
      <c r="E58" s="2"/>
      <c r="F58" s="6">
        <f t="shared" si="13"/>
        <v>1.7158307264933479E-2</v>
      </c>
      <c r="G58" s="2"/>
      <c r="H58" s="7">
        <v>5269.4978039807702</v>
      </c>
      <c r="I58" s="2"/>
      <c r="J58" s="6">
        <f t="shared" si="14"/>
        <v>1.377347609271915E-2</v>
      </c>
      <c r="K58" s="2"/>
      <c r="L58" s="7">
        <f t="shared" si="15"/>
        <v>4174.84219601923</v>
      </c>
      <c r="M58" s="2"/>
      <c r="N58" s="6">
        <f t="shared" si="16"/>
        <v>0.79226566768191886</v>
      </c>
      <c r="O58" s="11"/>
      <c r="P58" s="7">
        <v>28333.03</v>
      </c>
      <c r="Q58" s="2"/>
      <c r="R58" s="6">
        <f t="shared" si="17"/>
        <v>9.8784378844166253E-3</v>
      </c>
      <c r="S58" s="2"/>
      <c r="T58" s="7">
        <v>20787.785555869199</v>
      </c>
      <c r="U58" s="2"/>
      <c r="V58" s="6">
        <f t="shared" si="18"/>
        <v>4.8652836514132001E-3</v>
      </c>
      <c r="W58" s="2"/>
      <c r="X58" s="7">
        <f t="shared" si="19"/>
        <v>7545.2444441307998</v>
      </c>
      <c r="Y58" s="2"/>
      <c r="Z58" s="6">
        <f t="shared" si="20"/>
        <v>0.36296528188883903</v>
      </c>
    </row>
    <row r="59" spans="1:26" s="24" customFormat="1" hidden="1" outlineLevel="2" x14ac:dyDescent="0.25">
      <c r="A59" s="27"/>
      <c r="B59" s="11" t="str">
        <f>CONCATENATE("          ", "6116", " - ", "EDUCATIONAL BENEFITS")</f>
        <v xml:space="preserve">          6116 - EDUCATIONAL BENEFITS</v>
      </c>
      <c r="C59" s="11"/>
      <c r="D59" s="7"/>
      <c r="E59" s="2"/>
      <c r="F59" s="6">
        <f t="shared" si="13"/>
        <v>0</v>
      </c>
      <c r="G59" s="2"/>
      <c r="H59" s="7">
        <v>0</v>
      </c>
      <c r="I59" s="2"/>
      <c r="J59" s="6">
        <f t="shared" si="14"/>
        <v>0</v>
      </c>
      <c r="K59" s="2"/>
      <c r="L59" s="7">
        <f t="shared" si="15"/>
        <v>0</v>
      </c>
      <c r="M59" s="2"/>
      <c r="N59" s="6">
        <f t="shared" si="16"/>
        <v>0</v>
      </c>
      <c r="O59" s="11"/>
      <c r="P59" s="7"/>
      <c r="Q59" s="2"/>
      <c r="R59" s="6">
        <f t="shared" si="17"/>
        <v>0</v>
      </c>
      <c r="S59" s="2"/>
      <c r="T59" s="7">
        <v>0</v>
      </c>
      <c r="U59" s="2"/>
      <c r="V59" s="6">
        <f t="shared" si="18"/>
        <v>0</v>
      </c>
      <c r="W59" s="2"/>
      <c r="X59" s="7">
        <f t="shared" si="19"/>
        <v>0</v>
      </c>
      <c r="Y59" s="2"/>
      <c r="Z59" s="6">
        <f t="shared" si="20"/>
        <v>0</v>
      </c>
    </row>
    <row r="60" spans="1:26" s="24" customFormat="1" hidden="1" outlineLevel="2" x14ac:dyDescent="0.25">
      <c r="A60" s="27"/>
      <c r="B60" s="11" t="str">
        <f>CONCATENATE("          ", "6117", " - ", "RETIREMENT STAFF HOURLY")</f>
        <v xml:space="preserve">          6117 - RETIREMENT STAFF HOURLY</v>
      </c>
      <c r="C60" s="11"/>
      <c r="D60" s="7">
        <v>576.07000000000005</v>
      </c>
      <c r="E60" s="2"/>
      <c r="F60" s="6">
        <f t="shared" si="13"/>
        <v>1.046593628152971E-3</v>
      </c>
      <c r="G60" s="2"/>
      <c r="H60" s="7"/>
      <c r="I60" s="2"/>
      <c r="J60" s="6">
        <f t="shared" si="14"/>
        <v>0</v>
      </c>
      <c r="K60" s="2"/>
      <c r="L60" s="7">
        <f t="shared" si="15"/>
        <v>576.07000000000005</v>
      </c>
      <c r="M60" s="2"/>
      <c r="N60" s="6">
        <f t="shared" si="16"/>
        <v>0</v>
      </c>
      <c r="O60" s="11"/>
      <c r="P60" s="7">
        <v>2515.7199999999998</v>
      </c>
      <c r="Q60" s="2"/>
      <c r="R60" s="6">
        <f t="shared" si="17"/>
        <v>8.7711705223848606E-4</v>
      </c>
      <c r="S60" s="2"/>
      <c r="T60" s="7"/>
      <c r="U60" s="2"/>
      <c r="V60" s="6">
        <f t="shared" si="18"/>
        <v>0</v>
      </c>
      <c r="W60" s="2"/>
      <c r="X60" s="7">
        <f t="shared" si="19"/>
        <v>2515.7199999999998</v>
      </c>
      <c r="Y60" s="2"/>
      <c r="Z60" s="6">
        <f t="shared" si="20"/>
        <v>0</v>
      </c>
    </row>
    <row r="61" spans="1:26" s="24" customFormat="1" hidden="1" outlineLevel="2" x14ac:dyDescent="0.25">
      <c r="A61" s="27"/>
      <c r="B61" s="11" t="str">
        <f>CONCATENATE("          ", "6118", " - ", "VACATION")</f>
        <v xml:space="preserve">          6118 - VACATION</v>
      </c>
      <c r="C61" s="11"/>
      <c r="D61" s="7">
        <v>7622.27</v>
      </c>
      <c r="E61" s="2"/>
      <c r="F61" s="6">
        <f t="shared" si="13"/>
        <v>1.3848003218465719E-2</v>
      </c>
      <c r="G61" s="2"/>
      <c r="H61" s="7">
        <v>4741.47971583654</v>
      </c>
      <c r="I61" s="2"/>
      <c r="J61" s="6">
        <f t="shared" si="14"/>
        <v>1.2393336127942276E-2</v>
      </c>
      <c r="K61" s="2"/>
      <c r="L61" s="7">
        <f t="shared" si="15"/>
        <v>2880.7902841634605</v>
      </c>
      <c r="M61" s="2"/>
      <c r="N61" s="6">
        <f t="shared" si="16"/>
        <v>0.60757199372626702</v>
      </c>
      <c r="O61" s="11"/>
      <c r="P61" s="7">
        <v>23247.599999999999</v>
      </c>
      <c r="Q61" s="2"/>
      <c r="R61" s="6">
        <f t="shared" si="17"/>
        <v>8.1053799244826252E-3</v>
      </c>
      <c r="S61" s="2"/>
      <c r="T61" s="7">
        <v>19182.807746242299</v>
      </c>
      <c r="U61" s="2"/>
      <c r="V61" s="6">
        <f t="shared" si="18"/>
        <v>4.4896461272973124E-3</v>
      </c>
      <c r="W61" s="2"/>
      <c r="X61" s="7">
        <f t="shared" si="19"/>
        <v>4064.7922537576997</v>
      </c>
      <c r="Y61" s="2"/>
      <c r="Z61" s="6">
        <f t="shared" si="20"/>
        <v>0.21189766938856736</v>
      </c>
    </row>
    <row r="62" spans="1:26" s="24" customFormat="1" hidden="1" outlineLevel="2" x14ac:dyDescent="0.25">
      <c r="A62" s="27"/>
      <c r="B62" s="11" t="str">
        <f>CONCATENATE("          ", "6119", " - ", "SICK LEAVE")</f>
        <v xml:space="preserve">          6119 - SICK LEAVE</v>
      </c>
      <c r="C62" s="11"/>
      <c r="D62" s="7">
        <v>5499.11</v>
      </c>
      <c r="E62" s="2"/>
      <c r="F62" s="6">
        <f t="shared" si="13"/>
        <v>9.9906842684262046E-3</v>
      </c>
      <c r="G62" s="2"/>
      <c r="H62" s="7">
        <v>6676.4363743653903</v>
      </c>
      <c r="I62" s="2"/>
      <c r="J62" s="6">
        <f t="shared" si="14"/>
        <v>1.7450948877408015E-2</v>
      </c>
      <c r="K62" s="2"/>
      <c r="L62" s="7">
        <f t="shared" si="15"/>
        <v>-1177.3263743653906</v>
      </c>
      <c r="M62" s="2"/>
      <c r="N62" s="6">
        <f t="shared" si="16"/>
        <v>-0.17634053682976916</v>
      </c>
      <c r="O62" s="11"/>
      <c r="P62" s="7">
        <v>17169.580000000002</v>
      </c>
      <c r="Q62" s="2"/>
      <c r="R62" s="6">
        <f t="shared" si="17"/>
        <v>5.9862510127410319E-3</v>
      </c>
      <c r="S62" s="2"/>
      <c r="T62" s="7">
        <v>28316.738832330801</v>
      </c>
      <c r="U62" s="2"/>
      <c r="V62" s="6">
        <f t="shared" si="18"/>
        <v>6.6273998320797011E-3</v>
      </c>
      <c r="W62" s="2"/>
      <c r="X62" s="7">
        <f t="shared" si="19"/>
        <v>-11147.158832330799</v>
      </c>
      <c r="Y62" s="2"/>
      <c r="Z62" s="6">
        <f t="shared" si="20"/>
        <v>-0.39365969712597926</v>
      </c>
    </row>
    <row r="63" spans="1:26" s="24" customFormat="1" hidden="1" outlineLevel="2" x14ac:dyDescent="0.25">
      <c r="A63" s="27"/>
      <c r="B63" s="11" t="str">
        <f>CONCATENATE("          ", "6156", " - ", "EMPLOYEE MEALS")</f>
        <v xml:space="preserve">          6156 - EMPLOYEE MEALS</v>
      </c>
      <c r="C63" s="11"/>
      <c r="D63" s="7">
        <v>3966.1</v>
      </c>
      <c r="E63" s="2"/>
      <c r="F63" s="6">
        <f t="shared" si="13"/>
        <v>7.2055392376230284E-3</v>
      </c>
      <c r="G63" s="2"/>
      <c r="H63" s="7">
        <v>2450</v>
      </c>
      <c r="I63" s="2"/>
      <c r="J63" s="6">
        <f t="shared" si="14"/>
        <v>6.4038391669258695E-3</v>
      </c>
      <c r="K63" s="2"/>
      <c r="L63" s="7">
        <f t="shared" si="15"/>
        <v>1516.1</v>
      </c>
      <c r="M63" s="2"/>
      <c r="N63" s="6">
        <f t="shared" si="16"/>
        <v>0.61881632653061225</v>
      </c>
      <c r="O63" s="11"/>
      <c r="P63" s="7">
        <v>9927.32</v>
      </c>
      <c r="Q63" s="2"/>
      <c r="R63" s="6">
        <f t="shared" si="17"/>
        <v>3.4612046074396865E-3</v>
      </c>
      <c r="S63" s="2"/>
      <c r="T63" s="7">
        <v>9800</v>
      </c>
      <c r="U63" s="2"/>
      <c r="V63" s="6">
        <f t="shared" si="18"/>
        <v>2.2936440081943944E-3</v>
      </c>
      <c r="W63" s="2"/>
      <c r="X63" s="7">
        <f t="shared" si="19"/>
        <v>127.31999999999971</v>
      </c>
      <c r="Y63" s="2"/>
      <c r="Z63" s="6">
        <f t="shared" si="20"/>
        <v>1.2991836734693847E-2</v>
      </c>
    </row>
    <row r="64" spans="1:26" s="28" customFormat="1" outlineLevel="1" collapsed="1" x14ac:dyDescent="0.25">
      <c r="A64" s="29"/>
      <c r="B64" s="14" t="str">
        <f>CONCATENATE("     ","*Payroll                                          ")</f>
        <v xml:space="preserve">     *Payroll                                          </v>
      </c>
      <c r="C64" s="14"/>
      <c r="D64" s="1">
        <f>SUM(OSRRefD22_1x_0)</f>
        <v>172006.66000000003</v>
      </c>
      <c r="E64" s="1"/>
      <c r="F64" s="5">
        <f t="shared" ref="F64:F74" si="21">IF(D$12=0,0,D64/D$12)</f>
        <v>0.31249861016174169</v>
      </c>
      <c r="G64" s="1"/>
      <c r="H64" s="1">
        <f>SUM(OSRRefH22_1x_0)</f>
        <v>169254.24635464422</v>
      </c>
      <c r="I64" s="1"/>
      <c r="J64" s="5">
        <f t="shared" ref="J64:J74" si="22">IF(H$12=0,0,H64/H$12)</f>
        <v>0.4423987640711799</v>
      </c>
      <c r="K64" s="1"/>
      <c r="L64" s="1">
        <f t="shared" ref="L64:L74" si="23">+D64-H64</f>
        <v>2752.4136453558167</v>
      </c>
      <c r="M64" s="1"/>
      <c r="N64" s="5">
        <f t="shared" ref="N64:N74" si="24">IF(H64=0,0,L64/H64)</f>
        <v>1.6262006446730974E-2</v>
      </c>
      <c r="O64" s="14"/>
      <c r="P64" s="1">
        <f>SUM(OSRRefP22_1x_0)</f>
        <v>683540.45</v>
      </c>
      <c r="Q64" s="1"/>
      <c r="R64" s="5">
        <f t="shared" ref="R64:R74" si="25">IF(P$12=0,0,P64/P$12)</f>
        <v>0.23831944118970644</v>
      </c>
      <c r="S64" s="1"/>
      <c r="T64" s="1">
        <f>SUM(OSRRefT22_1x_0)</f>
        <v>735588.09591518051</v>
      </c>
      <c r="U64" s="1"/>
      <c r="V64" s="5">
        <f t="shared" ref="V64:V74" si="26">IF(T$12=0,0,T64/T$12)</f>
        <v>0.1721609417035691</v>
      </c>
      <c r="W64" s="1"/>
      <c r="X64" s="1">
        <f t="shared" ref="X64:X74" si="27">+P64-T64</f>
        <v>-52047.645915180561</v>
      </c>
      <c r="Y64" s="1"/>
      <c r="Z64" s="5">
        <f t="shared" ref="Z64:Z74" si="28">IF(T64=0,0,X64/T64)</f>
        <v>-7.0756509253219468E-2</v>
      </c>
    </row>
    <row r="65" spans="1:26" s="24" customFormat="1" hidden="1" outlineLevel="2" x14ac:dyDescent="0.25">
      <c r="A65" s="27"/>
      <c r="B65" s="11" t="str">
        <f>CONCATENATE("          ", "6001", " - ", "ADMINISTRATIVE SALARIES")</f>
        <v xml:space="preserve">          6001 - ADMINISTRATIVE SALARIES</v>
      </c>
      <c r="C65" s="11"/>
      <c r="D65" s="7">
        <v>4926.78</v>
      </c>
      <c r="E65" s="2"/>
      <c r="F65" s="6">
        <f t="shared" si="21"/>
        <v>8.9508854050922518E-3</v>
      </c>
      <c r="G65" s="2"/>
      <c r="H65" s="7">
        <v>5174.7596153846198</v>
      </c>
      <c r="I65" s="2"/>
      <c r="J65" s="6">
        <f t="shared" si="22"/>
        <v>1.3525848287520929E-2</v>
      </c>
      <c r="K65" s="2"/>
      <c r="L65" s="7">
        <f t="shared" si="23"/>
        <v>-247.97961538462005</v>
      </c>
      <c r="M65" s="2"/>
      <c r="N65" s="6">
        <f t="shared" si="24"/>
        <v>-4.792099224230123E-2</v>
      </c>
      <c r="O65" s="11"/>
      <c r="P65" s="7">
        <v>19484.080000000002</v>
      </c>
      <c r="Q65" s="2"/>
      <c r="R65" s="6">
        <f t="shared" si="25"/>
        <v>6.7932118102089437E-3</v>
      </c>
      <c r="S65" s="2"/>
      <c r="T65" s="7">
        <v>18629.134615384599</v>
      </c>
      <c r="U65" s="2"/>
      <c r="V65" s="6">
        <f t="shared" si="26"/>
        <v>4.3600615294309862E-3</v>
      </c>
      <c r="W65" s="2"/>
      <c r="X65" s="7">
        <f t="shared" si="27"/>
        <v>854.94538461540287</v>
      </c>
      <c r="Y65" s="2"/>
      <c r="Z65" s="6">
        <f t="shared" si="28"/>
        <v>4.5892920002272068E-2</v>
      </c>
    </row>
    <row r="66" spans="1:26" s="24" customFormat="1" hidden="1" outlineLevel="2" x14ac:dyDescent="0.25">
      <c r="A66" s="27"/>
      <c r="B66" s="11" t="str">
        <f>CONCATENATE("          ", "6002", " - ", "STAFF SALARIES")</f>
        <v xml:space="preserve">          6002 - STAFF SALARIES</v>
      </c>
      <c r="C66" s="11"/>
      <c r="D66" s="7">
        <v>62962.98</v>
      </c>
      <c r="E66" s="2"/>
      <c r="F66" s="6">
        <f t="shared" si="21"/>
        <v>0.11439001107074305</v>
      </c>
      <c r="G66" s="2"/>
      <c r="H66" s="7">
        <v>50084.255779259598</v>
      </c>
      <c r="I66" s="2"/>
      <c r="J66" s="6">
        <f t="shared" si="22"/>
        <v>0.13091082400226775</v>
      </c>
      <c r="K66" s="2"/>
      <c r="L66" s="7">
        <f t="shared" si="23"/>
        <v>12878.724220740405</v>
      </c>
      <c r="M66" s="2"/>
      <c r="N66" s="6">
        <f t="shared" si="24"/>
        <v>0.25714117181858209</v>
      </c>
      <c r="O66" s="11"/>
      <c r="P66" s="7">
        <v>249566.05</v>
      </c>
      <c r="Q66" s="2"/>
      <c r="R66" s="6">
        <f t="shared" si="25"/>
        <v>8.7012321766652342E-2</v>
      </c>
      <c r="S66" s="2"/>
      <c r="T66" s="7">
        <v>198267.90734379599</v>
      </c>
      <c r="U66" s="2"/>
      <c r="V66" s="6">
        <f t="shared" si="26"/>
        <v>4.6403673234320306E-2</v>
      </c>
      <c r="W66" s="2"/>
      <c r="X66" s="7">
        <f t="shared" si="27"/>
        <v>51298.142656204</v>
      </c>
      <c r="Y66" s="2"/>
      <c r="Z66" s="6">
        <f t="shared" si="28"/>
        <v>0.25873144748157939</v>
      </c>
    </row>
    <row r="67" spans="1:26" s="24" customFormat="1" hidden="1" outlineLevel="2" x14ac:dyDescent="0.25">
      <c r="A67" s="27"/>
      <c r="B67" s="11" t="str">
        <f>CONCATENATE("          ", "6003", " - ", "STAFF HOURLY-9 MONTH")</f>
        <v xml:space="preserve">          6003 - STAFF HOURLY-9 MONTH</v>
      </c>
      <c r="C67" s="11"/>
      <c r="D67" s="7"/>
      <c r="E67" s="2"/>
      <c r="F67" s="6">
        <f t="shared" si="21"/>
        <v>0</v>
      </c>
      <c r="G67" s="2"/>
      <c r="H67" s="7">
        <v>0</v>
      </c>
      <c r="I67" s="2"/>
      <c r="J67" s="6">
        <f t="shared" si="22"/>
        <v>0</v>
      </c>
      <c r="K67" s="2"/>
      <c r="L67" s="7">
        <f t="shared" si="23"/>
        <v>0</v>
      </c>
      <c r="M67" s="2"/>
      <c r="N67" s="6">
        <f t="shared" si="24"/>
        <v>0</v>
      </c>
      <c r="O67" s="11"/>
      <c r="P67" s="7"/>
      <c r="Q67" s="2"/>
      <c r="R67" s="6">
        <f t="shared" si="25"/>
        <v>0</v>
      </c>
      <c r="S67" s="2"/>
      <c r="T67" s="7">
        <v>0</v>
      </c>
      <c r="U67" s="2"/>
      <c r="V67" s="6">
        <f t="shared" si="26"/>
        <v>0</v>
      </c>
      <c r="W67" s="2"/>
      <c r="X67" s="7">
        <f t="shared" si="27"/>
        <v>0</v>
      </c>
      <c r="Y67" s="2"/>
      <c r="Z67" s="6">
        <f t="shared" si="28"/>
        <v>0</v>
      </c>
    </row>
    <row r="68" spans="1:26" s="24" customFormat="1" hidden="1" outlineLevel="2" x14ac:dyDescent="0.25">
      <c r="A68" s="27"/>
      <c r="B68" s="11" t="str">
        <f>CONCATENATE("          ", "6004", " - ", "STAFF HOURLY")</f>
        <v xml:space="preserve">          6004 - STAFF HOURLY</v>
      </c>
      <c r="C68" s="11"/>
      <c r="D68" s="7">
        <v>30372.86</v>
      </c>
      <c r="E68" s="2"/>
      <c r="F68" s="6">
        <f t="shared" si="21"/>
        <v>5.5180866465502881E-2</v>
      </c>
      <c r="G68" s="2"/>
      <c r="H68" s="7">
        <v>41873.018459999999</v>
      </c>
      <c r="I68" s="2"/>
      <c r="J68" s="6">
        <f t="shared" si="22"/>
        <v>0.10944819414349305</v>
      </c>
      <c r="K68" s="2"/>
      <c r="L68" s="7">
        <f t="shared" si="23"/>
        <v>-11500.158459999999</v>
      </c>
      <c r="M68" s="2"/>
      <c r="N68" s="6">
        <f t="shared" si="24"/>
        <v>-0.27464364602675456</v>
      </c>
      <c r="O68" s="11"/>
      <c r="P68" s="7">
        <v>89984.75</v>
      </c>
      <c r="Q68" s="2"/>
      <c r="R68" s="6">
        <f t="shared" si="25"/>
        <v>3.1373586355563067E-2</v>
      </c>
      <c r="S68" s="2"/>
      <c r="T68" s="7">
        <v>150742.86645599999</v>
      </c>
      <c r="U68" s="2"/>
      <c r="V68" s="6">
        <f t="shared" si="26"/>
        <v>3.5280660451515525E-2</v>
      </c>
      <c r="W68" s="2"/>
      <c r="X68" s="7">
        <f t="shared" si="27"/>
        <v>-60758.116455999989</v>
      </c>
      <c r="Y68" s="2"/>
      <c r="Z68" s="6">
        <f t="shared" si="28"/>
        <v>-0.40305798797938175</v>
      </c>
    </row>
    <row r="69" spans="1:26" s="24" customFormat="1" hidden="1" outlineLevel="2" x14ac:dyDescent="0.25">
      <c r="A69" s="27"/>
      <c r="B69" s="11" t="str">
        <f>CONCATENATE("          ", "6005", " - ", "TEMPORARY WAGES-HOURLY")</f>
        <v xml:space="preserve">          6005 - TEMPORARY WAGES-HOURLY</v>
      </c>
      <c r="C69" s="11"/>
      <c r="D69" s="7">
        <v>11398.46</v>
      </c>
      <c r="E69" s="2"/>
      <c r="F69" s="6">
        <f t="shared" si="21"/>
        <v>2.0708517379409642E-2</v>
      </c>
      <c r="G69" s="2"/>
      <c r="H69" s="7">
        <v>3445</v>
      </c>
      <c r="I69" s="2"/>
      <c r="J69" s="6">
        <f t="shared" si="22"/>
        <v>9.0045820122692331E-3</v>
      </c>
      <c r="K69" s="2"/>
      <c r="L69" s="7">
        <f t="shared" si="23"/>
        <v>7953.4599999999991</v>
      </c>
      <c r="M69" s="2"/>
      <c r="N69" s="6">
        <f t="shared" si="24"/>
        <v>2.308696661828737</v>
      </c>
      <c r="O69" s="11"/>
      <c r="P69" s="7">
        <v>39157.17</v>
      </c>
      <c r="Q69" s="2"/>
      <c r="R69" s="6">
        <f t="shared" si="25"/>
        <v>1.3652322803969153E-2</v>
      </c>
      <c r="S69" s="2"/>
      <c r="T69" s="7">
        <v>15091</v>
      </c>
      <c r="U69" s="2"/>
      <c r="V69" s="6">
        <f t="shared" si="26"/>
        <v>3.5319777273124086E-3</v>
      </c>
      <c r="W69" s="2"/>
      <c r="X69" s="7">
        <f t="shared" si="27"/>
        <v>24066.17</v>
      </c>
      <c r="Y69" s="2"/>
      <c r="Z69" s="6">
        <f t="shared" si="28"/>
        <v>1.5947365979723012</v>
      </c>
    </row>
    <row r="70" spans="1:26" s="24" customFormat="1" hidden="1" outlineLevel="2" x14ac:dyDescent="0.25">
      <c r="A70" s="27"/>
      <c r="B70" s="11" t="str">
        <f>CONCATENATE("          ", "6006", " - ", "TEMPORARY PART TIME")</f>
        <v xml:space="preserve">          6006 - TEMPORARY PART TIME</v>
      </c>
      <c r="C70" s="11"/>
      <c r="D70" s="7">
        <v>781.97</v>
      </c>
      <c r="E70" s="2"/>
      <c r="F70" s="6">
        <f t="shared" si="21"/>
        <v>1.4206690496064345E-3</v>
      </c>
      <c r="G70" s="2"/>
      <c r="H70" s="7">
        <v>0</v>
      </c>
      <c r="I70" s="2"/>
      <c r="J70" s="6">
        <f t="shared" si="22"/>
        <v>0</v>
      </c>
      <c r="K70" s="2"/>
      <c r="L70" s="7">
        <f t="shared" si="23"/>
        <v>781.97</v>
      </c>
      <c r="M70" s="2"/>
      <c r="N70" s="6">
        <f t="shared" si="24"/>
        <v>0</v>
      </c>
      <c r="O70" s="11"/>
      <c r="P70" s="7">
        <v>9877.6200000000008</v>
      </c>
      <c r="Q70" s="2"/>
      <c r="R70" s="6">
        <f t="shared" si="25"/>
        <v>3.4438764797083601E-3</v>
      </c>
      <c r="S70" s="2"/>
      <c r="T70" s="7">
        <v>0</v>
      </c>
      <c r="U70" s="2"/>
      <c r="V70" s="6">
        <f t="shared" si="26"/>
        <v>0</v>
      </c>
      <c r="W70" s="2"/>
      <c r="X70" s="7">
        <f t="shared" si="27"/>
        <v>9877.6200000000008</v>
      </c>
      <c r="Y70" s="2"/>
      <c r="Z70" s="6">
        <f t="shared" si="28"/>
        <v>0</v>
      </c>
    </row>
    <row r="71" spans="1:26" s="24" customFormat="1" hidden="1" outlineLevel="2" x14ac:dyDescent="0.25">
      <c r="A71" s="27"/>
      <c r="B71" s="11" t="str">
        <f>CONCATENATE("          ", "6007", " - ", "STUDENT HOURLY")</f>
        <v xml:space="preserve">          6007 - STUDENT HOURLY</v>
      </c>
      <c r="C71" s="11"/>
      <c r="D71" s="7">
        <v>51649.760000000002</v>
      </c>
      <c r="E71" s="2"/>
      <c r="F71" s="6">
        <f t="shared" si="21"/>
        <v>9.3836356192181836E-2</v>
      </c>
      <c r="G71" s="2"/>
      <c r="H71" s="7">
        <v>35509.4</v>
      </c>
      <c r="I71" s="2"/>
      <c r="J71" s="6">
        <f t="shared" si="22"/>
        <v>9.2814892454709183E-2</v>
      </c>
      <c r="K71" s="2"/>
      <c r="L71" s="7">
        <f t="shared" si="23"/>
        <v>16140.36</v>
      </c>
      <c r="M71" s="2"/>
      <c r="N71" s="6">
        <f t="shared" si="24"/>
        <v>0.45453767171509518</v>
      </c>
      <c r="O71" s="11"/>
      <c r="P71" s="7">
        <v>231827.04</v>
      </c>
      <c r="Q71" s="2"/>
      <c r="R71" s="6">
        <f t="shared" si="25"/>
        <v>8.0827536432501873E-2</v>
      </c>
      <c r="S71" s="2"/>
      <c r="T71" s="7">
        <v>158583.28</v>
      </c>
      <c r="U71" s="2"/>
      <c r="V71" s="6">
        <f t="shared" si="26"/>
        <v>3.7115672446103462E-2</v>
      </c>
      <c r="W71" s="2"/>
      <c r="X71" s="7">
        <f t="shared" si="27"/>
        <v>73243.760000000009</v>
      </c>
      <c r="Y71" s="2"/>
      <c r="Z71" s="6">
        <f t="shared" si="28"/>
        <v>0.46186306652252374</v>
      </c>
    </row>
    <row r="72" spans="1:26" s="24" customFormat="1" hidden="1" outlineLevel="2" x14ac:dyDescent="0.25">
      <c r="A72" s="27"/>
      <c r="B72" s="11" t="str">
        <f>CONCATENATE("          ", "6008", " - ", "STUDENT HOURLY-FICA EXEMPT")</f>
        <v xml:space="preserve">          6008 - STUDENT HOURLY-FICA EXEMPT</v>
      </c>
      <c r="C72" s="11"/>
      <c r="D72" s="7">
        <v>9913.85</v>
      </c>
      <c r="E72" s="2"/>
      <c r="F72" s="6">
        <f t="shared" si="21"/>
        <v>1.8011304599205531E-2</v>
      </c>
      <c r="G72" s="2"/>
      <c r="H72" s="7">
        <v>33167.8125</v>
      </c>
      <c r="I72" s="2"/>
      <c r="J72" s="6">
        <f t="shared" si="22"/>
        <v>8.6694423170919771E-2</v>
      </c>
      <c r="K72" s="2"/>
      <c r="L72" s="7">
        <f t="shared" si="23"/>
        <v>-23253.962500000001</v>
      </c>
      <c r="M72" s="2"/>
      <c r="N72" s="6">
        <f t="shared" si="24"/>
        <v>-0.70110027605830205</v>
      </c>
      <c r="O72" s="11"/>
      <c r="P72" s="7">
        <v>43643.74</v>
      </c>
      <c r="Q72" s="2"/>
      <c r="R72" s="6">
        <f t="shared" si="25"/>
        <v>1.5216585541102707E-2</v>
      </c>
      <c r="S72" s="2"/>
      <c r="T72" s="7">
        <v>194273.9075</v>
      </c>
      <c r="U72" s="2"/>
      <c r="V72" s="6">
        <f t="shared" si="26"/>
        <v>4.5468896314886431E-2</v>
      </c>
      <c r="W72" s="2"/>
      <c r="X72" s="7">
        <f t="shared" si="27"/>
        <v>-150630.16750000001</v>
      </c>
      <c r="Y72" s="2"/>
      <c r="Z72" s="6">
        <f t="shared" si="28"/>
        <v>-0.77534945087775109</v>
      </c>
    </row>
    <row r="73" spans="1:26" s="24" customFormat="1" hidden="1" outlineLevel="2" x14ac:dyDescent="0.25">
      <c r="A73" s="27"/>
      <c r="B73" s="11" t="str">
        <f>CONCATENATE("          ", "6009", " - ", "TEMPORARY-SEASONAL")</f>
        <v xml:space="preserve">          6009 - TEMPORARY-SEASONAL</v>
      </c>
      <c r="C73" s="11"/>
      <c r="D73" s="7"/>
      <c r="E73" s="2"/>
      <c r="F73" s="6">
        <f t="shared" si="21"/>
        <v>0</v>
      </c>
      <c r="G73" s="2"/>
      <c r="H73" s="7">
        <v>0</v>
      </c>
      <c r="I73" s="2"/>
      <c r="J73" s="6">
        <f t="shared" si="22"/>
        <v>0</v>
      </c>
      <c r="K73" s="2"/>
      <c r="L73" s="7">
        <f t="shared" si="23"/>
        <v>0</v>
      </c>
      <c r="M73" s="2"/>
      <c r="N73" s="6">
        <f t="shared" si="24"/>
        <v>0</v>
      </c>
      <c r="O73" s="11"/>
      <c r="P73" s="7"/>
      <c r="Q73" s="2"/>
      <c r="R73" s="6">
        <f t="shared" si="25"/>
        <v>0</v>
      </c>
      <c r="S73" s="2"/>
      <c r="T73" s="7">
        <v>0</v>
      </c>
      <c r="U73" s="2"/>
      <c r="V73" s="6">
        <f t="shared" si="26"/>
        <v>0</v>
      </c>
      <c r="W73" s="2"/>
      <c r="X73" s="7">
        <f t="shared" si="27"/>
        <v>0</v>
      </c>
      <c r="Y73" s="2"/>
      <c r="Z73" s="6">
        <f t="shared" si="28"/>
        <v>0</v>
      </c>
    </row>
    <row r="74" spans="1:26" s="24" customFormat="1" hidden="1" outlineLevel="2" x14ac:dyDescent="0.25">
      <c r="A74" s="27"/>
      <c r="B74" s="11" t="str">
        <f>CONCATENATE("          ", "6010", " - ", "GRATUITY")</f>
        <v xml:space="preserve">          6010 - GRATUITY</v>
      </c>
      <c r="C74" s="11"/>
      <c r="D74" s="7"/>
      <c r="E74" s="2"/>
      <c r="F74" s="6">
        <f t="shared" si="21"/>
        <v>0</v>
      </c>
      <c r="G74" s="2"/>
      <c r="H74" s="7">
        <v>0</v>
      </c>
      <c r="I74" s="2"/>
      <c r="J74" s="6">
        <f t="shared" si="22"/>
        <v>0</v>
      </c>
      <c r="K74" s="2"/>
      <c r="L74" s="7">
        <f t="shared" si="23"/>
        <v>0</v>
      </c>
      <c r="M74" s="2"/>
      <c r="N74" s="6">
        <f t="shared" si="24"/>
        <v>0</v>
      </c>
      <c r="O74" s="11"/>
      <c r="P74" s="7"/>
      <c r="Q74" s="2"/>
      <c r="R74" s="6">
        <f t="shared" si="25"/>
        <v>0</v>
      </c>
      <c r="S74" s="2"/>
      <c r="T74" s="7">
        <v>0</v>
      </c>
      <c r="U74" s="2"/>
      <c r="V74" s="6">
        <f t="shared" si="26"/>
        <v>0</v>
      </c>
      <c r="W74" s="2"/>
      <c r="X74" s="7">
        <f t="shared" si="27"/>
        <v>0</v>
      </c>
      <c r="Y74" s="2"/>
      <c r="Z74" s="6">
        <f t="shared" si="28"/>
        <v>0</v>
      </c>
    </row>
    <row r="75" spans="1:26" s="28" customFormat="1" outlineLevel="1" collapsed="1" x14ac:dyDescent="0.25">
      <c r="A75" s="29"/>
      <c r="B75" s="14" t="str">
        <f>CONCATENATE("     ","Advertising/Promo                                 ")</f>
        <v xml:space="preserve">     Advertising/Promo                                 </v>
      </c>
      <c r="C75" s="14"/>
      <c r="D75" s="1">
        <f>SUM(OSRRefD22_2x_0)</f>
        <v>950.63</v>
      </c>
      <c r="E75" s="1"/>
      <c r="F75" s="5">
        <f t="shared" ref="F75:F83" si="29">IF(D$12=0,0,D75/D$12)</f>
        <v>1.7270875079956581E-3</v>
      </c>
      <c r="G75" s="1"/>
      <c r="H75" s="1">
        <f>SUM(OSRRefH22_2x_0)</f>
        <v>300</v>
      </c>
      <c r="I75" s="1"/>
      <c r="J75" s="5">
        <f t="shared" ref="J75:J83" si="30">IF(H$12=0,0,H75/H$12)</f>
        <v>7.8414357146031055E-4</v>
      </c>
      <c r="K75" s="1"/>
      <c r="L75" s="1">
        <f t="shared" ref="L75:L83" si="31">+D75-H75</f>
        <v>650.63</v>
      </c>
      <c r="M75" s="1"/>
      <c r="N75" s="5">
        <f t="shared" ref="N75:N83" si="32">IF(H75=0,0,L75/H75)</f>
        <v>2.1687666666666665</v>
      </c>
      <c r="O75" s="14"/>
      <c r="P75" s="1">
        <f>SUM(OSRRefP22_2x_0)</f>
        <v>3149.98</v>
      </c>
      <c r="Q75" s="1"/>
      <c r="R75" s="5">
        <f t="shared" ref="R75:R83" si="33">IF(P$12=0,0,P75/P$12)</f>
        <v>1.098254643684586E-3</v>
      </c>
      <c r="S75" s="1"/>
      <c r="T75" s="1">
        <f>SUM(OSRRefT22_2x_0)</f>
        <v>4200</v>
      </c>
      <c r="U75" s="1"/>
      <c r="V75" s="5">
        <f t="shared" ref="V75:V83" si="34">IF(T$12=0,0,T75/T$12)</f>
        <v>9.8299028922616905E-4</v>
      </c>
      <c r="W75" s="1"/>
      <c r="X75" s="1">
        <f t="shared" ref="X75:X83" si="35">+P75-T75</f>
        <v>-1050.02</v>
      </c>
      <c r="Y75" s="1"/>
      <c r="Z75" s="5">
        <f t="shared" ref="Z75:Z83" si="36">IF(T75=0,0,X75/T75)</f>
        <v>-0.2500047619047619</v>
      </c>
    </row>
    <row r="76" spans="1:26" s="24" customFormat="1" hidden="1" outlineLevel="2" x14ac:dyDescent="0.25">
      <c r="A76" s="27"/>
      <c r="B76" s="11" t="str">
        <f>CONCATENATE("          ", "6362", " - ", "ADVERTISING EXPENSE")</f>
        <v xml:space="preserve">          6362 - ADVERTISING EXPENSE</v>
      </c>
      <c r="C76" s="11"/>
      <c r="D76" s="7">
        <v>950.63</v>
      </c>
      <c r="E76" s="2"/>
      <c r="F76" s="6">
        <f t="shared" si="29"/>
        <v>1.7270875079956581E-3</v>
      </c>
      <c r="G76" s="2"/>
      <c r="H76" s="7">
        <v>300</v>
      </c>
      <c r="I76" s="2"/>
      <c r="J76" s="6">
        <f t="shared" si="30"/>
        <v>7.8414357146031055E-4</v>
      </c>
      <c r="K76" s="2"/>
      <c r="L76" s="7">
        <f t="shared" si="31"/>
        <v>650.63</v>
      </c>
      <c r="M76" s="2"/>
      <c r="N76" s="6">
        <f t="shared" si="32"/>
        <v>2.1687666666666665</v>
      </c>
      <c r="O76" s="11"/>
      <c r="P76" s="7">
        <v>3149.98</v>
      </c>
      <c r="Q76" s="2"/>
      <c r="R76" s="6">
        <f t="shared" si="33"/>
        <v>1.098254643684586E-3</v>
      </c>
      <c r="S76" s="2"/>
      <c r="T76" s="7">
        <v>4200</v>
      </c>
      <c r="U76" s="2"/>
      <c r="V76" s="6">
        <f t="shared" si="34"/>
        <v>9.8299028922616905E-4</v>
      </c>
      <c r="W76" s="2"/>
      <c r="X76" s="7">
        <f t="shared" si="35"/>
        <v>-1050.02</v>
      </c>
      <c r="Y76" s="2"/>
      <c r="Z76" s="6">
        <f t="shared" si="36"/>
        <v>-0.2500047619047619</v>
      </c>
    </row>
    <row r="77" spans="1:26" s="28" customFormat="1" outlineLevel="1" collapsed="1" x14ac:dyDescent="0.25">
      <c r="A77" s="29"/>
      <c r="B77" s="14" t="str">
        <f>CONCATENATE("     ","Bad Debts/Over/Short                              ")</f>
        <v xml:space="preserve">     Bad Debts/Over/Short                              </v>
      </c>
      <c r="C77" s="14"/>
      <c r="D77" s="1">
        <f>SUM(OSRRefD22_3x_0)</f>
        <v>-30.42</v>
      </c>
      <c r="E77" s="1"/>
      <c r="F77" s="5">
        <f t="shared" si="29"/>
        <v>-5.5266509570735111E-5</v>
      </c>
      <c r="G77" s="1"/>
      <c r="H77" s="1">
        <f>SUM(OSRRefH22_3x_0)</f>
        <v>235</v>
      </c>
      <c r="I77" s="1"/>
      <c r="J77" s="5">
        <f t="shared" si="30"/>
        <v>6.1424579764390993E-4</v>
      </c>
      <c r="K77" s="1"/>
      <c r="L77" s="1">
        <f t="shared" si="31"/>
        <v>-265.42</v>
      </c>
      <c r="M77" s="1"/>
      <c r="N77" s="5">
        <f t="shared" si="32"/>
        <v>-1.1294468085106384</v>
      </c>
      <c r="O77" s="14"/>
      <c r="P77" s="1">
        <f>SUM(OSRRefP22_3x_0)</f>
        <v>218.49</v>
      </c>
      <c r="Q77" s="1"/>
      <c r="R77" s="5">
        <f t="shared" si="33"/>
        <v>7.6177517666348738E-5</v>
      </c>
      <c r="S77" s="1"/>
      <c r="T77" s="1">
        <f>SUM(OSRRefT22_3x_0)</f>
        <v>940</v>
      </c>
      <c r="U77" s="1"/>
      <c r="V77" s="5">
        <f t="shared" si="34"/>
        <v>2.2000258854109497E-4</v>
      </c>
      <c r="W77" s="1"/>
      <c r="X77" s="1">
        <f t="shared" si="35"/>
        <v>-721.51</v>
      </c>
      <c r="Y77" s="1"/>
      <c r="Z77" s="5">
        <f t="shared" si="36"/>
        <v>-0.76756382978723403</v>
      </c>
    </row>
    <row r="78" spans="1:26" s="24" customFormat="1" hidden="1" outlineLevel="2" x14ac:dyDescent="0.25">
      <c r="A78" s="27"/>
      <c r="B78" s="11" t="str">
        <f>CONCATENATE("          ", "6272", " - ", "CASH (OVER/SHORT)")</f>
        <v xml:space="preserve">          6272 - CASH (OVER/SHORT)</v>
      </c>
      <c r="C78" s="11"/>
      <c r="D78" s="7">
        <v>-30.42</v>
      </c>
      <c r="E78" s="2"/>
      <c r="F78" s="6">
        <f t="shared" si="29"/>
        <v>-5.5266509570735111E-5</v>
      </c>
      <c r="G78" s="2"/>
      <c r="H78" s="7">
        <v>235</v>
      </c>
      <c r="I78" s="2"/>
      <c r="J78" s="6">
        <f t="shared" si="30"/>
        <v>6.1424579764390993E-4</v>
      </c>
      <c r="K78" s="2"/>
      <c r="L78" s="7">
        <f t="shared" si="31"/>
        <v>-265.42</v>
      </c>
      <c r="M78" s="2"/>
      <c r="N78" s="6">
        <f t="shared" si="32"/>
        <v>-1.1294468085106384</v>
      </c>
      <c r="O78" s="11"/>
      <c r="P78" s="7">
        <v>218.49</v>
      </c>
      <c r="Q78" s="2"/>
      <c r="R78" s="6">
        <f t="shared" si="33"/>
        <v>7.6177517666348738E-5</v>
      </c>
      <c r="S78" s="2"/>
      <c r="T78" s="7">
        <v>940</v>
      </c>
      <c r="U78" s="2"/>
      <c r="V78" s="6">
        <f t="shared" si="34"/>
        <v>2.2000258854109497E-4</v>
      </c>
      <c r="W78" s="2"/>
      <c r="X78" s="7">
        <f t="shared" si="35"/>
        <v>-721.51</v>
      </c>
      <c r="Y78" s="2"/>
      <c r="Z78" s="6">
        <f t="shared" si="36"/>
        <v>-0.76756382978723403</v>
      </c>
    </row>
    <row r="79" spans="1:26" s="28" customFormat="1" outlineLevel="1" collapsed="1" x14ac:dyDescent="0.25">
      <c r="A79" s="29"/>
      <c r="B79" s="14" t="str">
        <f>CONCATENATE("     ","Bank/card Fees                                    ")</f>
        <v xml:space="preserve">     Bank/card Fees                                    </v>
      </c>
      <c r="C79" s="14"/>
      <c r="D79" s="1">
        <f>SUM(OSRRefD22_4x_0)</f>
        <v>12740.8</v>
      </c>
      <c r="E79" s="1"/>
      <c r="F79" s="5">
        <f t="shared" si="29"/>
        <v>2.3147256579185465E-2</v>
      </c>
      <c r="G79" s="1"/>
      <c r="H79" s="1">
        <f>SUM(OSRRefH22_4x_0)</f>
        <v>9036</v>
      </c>
      <c r="I79" s="1"/>
      <c r="J79" s="5">
        <f t="shared" si="30"/>
        <v>2.3618404372384553E-2</v>
      </c>
      <c r="K79" s="1"/>
      <c r="L79" s="1">
        <f t="shared" si="31"/>
        <v>3704.7999999999993</v>
      </c>
      <c r="M79" s="1"/>
      <c r="N79" s="5">
        <f t="shared" si="32"/>
        <v>0.41000442673749438</v>
      </c>
      <c r="O79" s="14"/>
      <c r="P79" s="1">
        <f>SUM(OSRRefP22_4x_0)</f>
        <v>50329.49</v>
      </c>
      <c r="Q79" s="1"/>
      <c r="R79" s="5">
        <f t="shared" si="33"/>
        <v>1.7547602240895792E-2</v>
      </c>
      <c r="S79" s="1"/>
      <c r="T79" s="1">
        <f>SUM(OSRRefT22_4x_0)</f>
        <v>85631</v>
      </c>
      <c r="U79" s="1"/>
      <c r="V79" s="5">
        <f t="shared" si="34"/>
        <v>2.0041533680172877E-2</v>
      </c>
      <c r="W79" s="1"/>
      <c r="X79" s="1">
        <f t="shared" si="35"/>
        <v>-35301.51</v>
      </c>
      <c r="Y79" s="1"/>
      <c r="Z79" s="5">
        <f t="shared" si="36"/>
        <v>-0.41225152106129792</v>
      </c>
    </row>
    <row r="80" spans="1:26" s="24" customFormat="1" hidden="1" outlineLevel="2" x14ac:dyDescent="0.25">
      <c r="A80" s="27"/>
      <c r="B80" s="11" t="str">
        <f>CONCATENATE("          ", "6381", " - ", "BANK/CREDIT CARD FEES")</f>
        <v xml:space="preserve">          6381 - BANK/CREDIT CARD FEES</v>
      </c>
      <c r="C80" s="11"/>
      <c r="D80" s="7">
        <v>12740.8</v>
      </c>
      <c r="E80" s="2"/>
      <c r="F80" s="6">
        <f t="shared" si="29"/>
        <v>2.3147256579185465E-2</v>
      </c>
      <c r="G80" s="2"/>
      <c r="H80" s="7">
        <v>9036</v>
      </c>
      <c r="I80" s="2"/>
      <c r="J80" s="6">
        <f t="shared" si="30"/>
        <v>2.3618404372384553E-2</v>
      </c>
      <c r="K80" s="2"/>
      <c r="L80" s="7">
        <f t="shared" si="31"/>
        <v>3704.7999999999993</v>
      </c>
      <c r="M80" s="2"/>
      <c r="N80" s="6">
        <f t="shared" si="32"/>
        <v>0.41000442673749438</v>
      </c>
      <c r="O80" s="11"/>
      <c r="P80" s="7">
        <v>50329.49</v>
      </c>
      <c r="Q80" s="2"/>
      <c r="R80" s="6">
        <f t="shared" si="33"/>
        <v>1.7547602240895792E-2</v>
      </c>
      <c r="S80" s="2"/>
      <c r="T80" s="7">
        <v>85631</v>
      </c>
      <c r="U80" s="2"/>
      <c r="V80" s="6">
        <f t="shared" si="34"/>
        <v>2.0041533680172877E-2</v>
      </c>
      <c r="W80" s="2"/>
      <c r="X80" s="7">
        <f t="shared" si="35"/>
        <v>-35301.51</v>
      </c>
      <c r="Y80" s="2"/>
      <c r="Z80" s="6">
        <f t="shared" si="36"/>
        <v>-0.41225152106129792</v>
      </c>
    </row>
    <row r="81" spans="1:26" s="28" customFormat="1" outlineLevel="1" collapsed="1" x14ac:dyDescent="0.25">
      <c r="A81" s="29"/>
      <c r="B81" s="14" t="str">
        <f>CONCATENATE("     ","Depreciation                                      ")</f>
        <v xml:space="preserve">     Depreciation                                      </v>
      </c>
      <c r="C81" s="14"/>
      <c r="D81" s="1">
        <f>SUM(OSRRefD22_5x_0)</f>
        <v>30614.86</v>
      </c>
      <c r="E81" s="1"/>
      <c r="F81" s="5">
        <f t="shared" si="29"/>
        <v>5.5620527718498208E-2</v>
      </c>
      <c r="G81" s="1"/>
      <c r="H81" s="1">
        <f>SUM(OSRRefH22_5x_0)</f>
        <v>30494</v>
      </c>
      <c r="I81" s="1"/>
      <c r="J81" s="5">
        <f t="shared" si="30"/>
        <v>7.9705580227035708E-2</v>
      </c>
      <c r="K81" s="1"/>
      <c r="L81" s="1">
        <f t="shared" si="31"/>
        <v>120.86000000000058</v>
      </c>
      <c r="M81" s="1"/>
      <c r="N81" s="5">
        <f t="shared" si="32"/>
        <v>3.9634026365842649E-3</v>
      </c>
      <c r="O81" s="14"/>
      <c r="P81" s="1">
        <f>SUM(OSRRefP22_5x_0)</f>
        <v>122776.9</v>
      </c>
      <c r="Q81" s="1"/>
      <c r="R81" s="5">
        <f t="shared" si="33"/>
        <v>4.2806716411595641E-2</v>
      </c>
      <c r="S81" s="1"/>
      <c r="T81" s="1">
        <f>SUM(OSRRefT22_5x_0)</f>
        <v>122293</v>
      </c>
      <c r="U81" s="1"/>
      <c r="V81" s="5">
        <f t="shared" si="34"/>
        <v>2.8622102723889497E-2</v>
      </c>
      <c r="W81" s="1"/>
      <c r="X81" s="1">
        <f t="shared" si="35"/>
        <v>483.89999999999418</v>
      </c>
      <c r="Y81" s="1"/>
      <c r="Z81" s="5">
        <f t="shared" si="36"/>
        <v>3.9568904189119097E-3</v>
      </c>
    </row>
    <row r="82" spans="1:26" s="24" customFormat="1" hidden="1" outlineLevel="2" x14ac:dyDescent="0.25">
      <c r="A82" s="27"/>
      <c r="B82" s="11" t="str">
        <f>CONCATENATE("          ", "6321", " - ", "BUILDING DEPRECIATION")</f>
        <v xml:space="preserve">          6321 - BUILDING DEPRECIATION</v>
      </c>
      <c r="C82" s="11"/>
      <c r="D82" s="7">
        <v>16396.52</v>
      </c>
      <c r="E82" s="2"/>
      <c r="F82" s="6">
        <f t="shared" si="29"/>
        <v>2.978890300811143E-2</v>
      </c>
      <c r="G82" s="2"/>
      <c r="H82" s="7"/>
      <c r="I82" s="2"/>
      <c r="J82" s="6">
        <f t="shared" si="30"/>
        <v>0</v>
      </c>
      <c r="K82" s="2"/>
      <c r="L82" s="7">
        <f t="shared" si="31"/>
        <v>16396.52</v>
      </c>
      <c r="M82" s="2"/>
      <c r="N82" s="6">
        <f t="shared" si="32"/>
        <v>0</v>
      </c>
      <c r="O82" s="11"/>
      <c r="P82" s="7">
        <v>65586.080000000002</v>
      </c>
      <c r="Q82" s="2"/>
      <c r="R82" s="6">
        <f t="shared" si="33"/>
        <v>2.2866880717042251E-2</v>
      </c>
      <c r="S82" s="2"/>
      <c r="T82" s="7"/>
      <c r="U82" s="2"/>
      <c r="V82" s="6">
        <f t="shared" si="34"/>
        <v>0</v>
      </c>
      <c r="W82" s="2"/>
      <c r="X82" s="7">
        <f t="shared" si="35"/>
        <v>65586.080000000002</v>
      </c>
      <c r="Y82" s="2"/>
      <c r="Z82" s="6">
        <f t="shared" si="36"/>
        <v>0</v>
      </c>
    </row>
    <row r="83" spans="1:26" s="24" customFormat="1" hidden="1" outlineLevel="2" x14ac:dyDescent="0.25">
      <c r="A83" s="27"/>
      <c r="B83" s="11" t="str">
        <f>CONCATENATE("          ", "6322", " - ", "EQUIPMENT DEPRECIATION EXPENSE")</f>
        <v xml:space="preserve">          6322 - EQUIPMENT DEPRECIATION EXPENSE</v>
      </c>
      <c r="C83" s="11"/>
      <c r="D83" s="7">
        <v>14218.34</v>
      </c>
      <c r="E83" s="2"/>
      <c r="F83" s="6">
        <f t="shared" si="29"/>
        <v>2.5831624710386782E-2</v>
      </c>
      <c r="G83" s="2"/>
      <c r="H83" s="7">
        <v>30494</v>
      </c>
      <c r="I83" s="2"/>
      <c r="J83" s="6">
        <f t="shared" si="30"/>
        <v>7.9705580227035708E-2</v>
      </c>
      <c r="K83" s="2"/>
      <c r="L83" s="7">
        <f t="shared" si="31"/>
        <v>-16275.66</v>
      </c>
      <c r="M83" s="2"/>
      <c r="N83" s="6">
        <f t="shared" si="32"/>
        <v>-0.53373319341509806</v>
      </c>
      <c r="O83" s="11"/>
      <c r="P83" s="7">
        <v>57190.82</v>
      </c>
      <c r="Q83" s="2"/>
      <c r="R83" s="6">
        <f t="shared" si="33"/>
        <v>1.993983569455339E-2</v>
      </c>
      <c r="S83" s="2"/>
      <c r="T83" s="7">
        <v>122293</v>
      </c>
      <c r="U83" s="2"/>
      <c r="V83" s="6">
        <f t="shared" si="34"/>
        <v>2.8622102723889497E-2</v>
      </c>
      <c r="W83" s="2"/>
      <c r="X83" s="7">
        <f t="shared" si="35"/>
        <v>-65102.18</v>
      </c>
      <c r="Y83" s="2"/>
      <c r="Z83" s="6">
        <f t="shared" si="36"/>
        <v>-0.53234592331531649</v>
      </c>
    </row>
    <row r="84" spans="1:26" s="28" customFormat="1" outlineLevel="1" collapsed="1" x14ac:dyDescent="0.25">
      <c r="A84" s="29"/>
      <c r="B84" s="14" t="str">
        <f>CONCATENATE("     ","Discounts and Markdowns                           ")</f>
        <v xml:space="preserve">     Discounts and Markdowns                           </v>
      </c>
      <c r="C84" s="14"/>
      <c r="D84" s="1">
        <f>SUM(OSRRefD22_6x_0)</f>
        <v>-43.75</v>
      </c>
      <c r="E84" s="1"/>
      <c r="F84" s="5">
        <f t="shared" ref="F84:F86" si="37">IF(D$12=0,0,D84/D$12)</f>
        <v>-7.9484214126221596E-5</v>
      </c>
      <c r="G84" s="1"/>
      <c r="H84" s="1">
        <f>SUM(OSRRefH22_6x_0)</f>
        <v>0</v>
      </c>
      <c r="I84" s="1"/>
      <c r="J84" s="5">
        <f t="shared" ref="J84:J86" si="38">IF(H$12=0,0,H84/H$12)</f>
        <v>0</v>
      </c>
      <c r="K84" s="1"/>
      <c r="L84" s="1">
        <f t="shared" ref="L84:L86" si="39">+D84-H84</f>
        <v>-43.75</v>
      </c>
      <c r="M84" s="1"/>
      <c r="N84" s="5">
        <f t="shared" ref="N84:N86" si="40">IF(H84=0,0,L84/H84)</f>
        <v>0</v>
      </c>
      <c r="O84" s="14"/>
      <c r="P84" s="1">
        <f>SUM(OSRRefP22_6x_0)</f>
        <v>-66.239999999999995</v>
      </c>
      <c r="Q84" s="1"/>
      <c r="R84" s="5">
        <f t="shared" ref="R84:R86" si="41">IF(P$12=0,0,P84/P$12)</f>
        <v>-2.3094872855594944E-5</v>
      </c>
      <c r="S84" s="1"/>
      <c r="T84" s="1">
        <f>SUM(OSRRefT22_6x_0)</f>
        <v>0</v>
      </c>
      <c r="U84" s="1"/>
      <c r="V84" s="5">
        <f t="shared" ref="V84:V86" si="42">IF(T$12=0,0,T84/T$12)</f>
        <v>0</v>
      </c>
      <c r="W84" s="1"/>
      <c r="X84" s="1">
        <f t="shared" ref="X84:X86" si="43">+P84-T84</f>
        <v>-66.239999999999995</v>
      </c>
      <c r="Y84" s="1"/>
      <c r="Z84" s="5">
        <f t="shared" ref="Z84:Z86" si="44">IF(T84=0,0,X84/T84)</f>
        <v>0</v>
      </c>
    </row>
    <row r="85" spans="1:26" s="24" customFormat="1" hidden="1" outlineLevel="2" x14ac:dyDescent="0.25">
      <c r="A85" s="27"/>
      <c r="B85" s="11" t="str">
        <f>CONCATENATE("          ", "6382", " - ", "DISCOUNTS/MARK DOWNS")</f>
        <v xml:space="preserve">          6382 - DISCOUNTS/MARK DOWNS</v>
      </c>
      <c r="C85" s="11"/>
      <c r="D85" s="7"/>
      <c r="E85" s="2"/>
      <c r="F85" s="6">
        <f t="shared" si="37"/>
        <v>0</v>
      </c>
      <c r="G85" s="2"/>
      <c r="H85" s="7"/>
      <c r="I85" s="2"/>
      <c r="J85" s="6">
        <f t="shared" si="38"/>
        <v>0</v>
      </c>
      <c r="K85" s="2"/>
      <c r="L85" s="7">
        <f t="shared" si="39"/>
        <v>0</v>
      </c>
      <c r="M85" s="2"/>
      <c r="N85" s="6">
        <f t="shared" si="40"/>
        <v>0</v>
      </c>
      <c r="O85" s="11"/>
      <c r="P85" s="7"/>
      <c r="Q85" s="2"/>
      <c r="R85" s="6">
        <f t="shared" si="41"/>
        <v>0</v>
      </c>
      <c r="S85" s="2"/>
      <c r="T85" s="7">
        <v>0</v>
      </c>
      <c r="U85" s="2"/>
      <c r="V85" s="6">
        <f t="shared" si="42"/>
        <v>0</v>
      </c>
      <c r="W85" s="2"/>
      <c r="X85" s="7">
        <f t="shared" si="43"/>
        <v>0</v>
      </c>
      <c r="Y85" s="2"/>
      <c r="Z85" s="6">
        <f t="shared" si="44"/>
        <v>0</v>
      </c>
    </row>
    <row r="86" spans="1:26" s="24" customFormat="1" hidden="1" outlineLevel="2" x14ac:dyDescent="0.25">
      <c r="A86" s="27"/>
      <c r="B86" s="11" t="str">
        <f>CONCATENATE("          ", "9175", " - ", "EARNED DISCOUNTS")</f>
        <v xml:space="preserve">          9175 - EARNED DISCOUNTS</v>
      </c>
      <c r="C86" s="11"/>
      <c r="D86" s="7">
        <v>-43.75</v>
      </c>
      <c r="E86" s="2"/>
      <c r="F86" s="6">
        <f t="shared" si="37"/>
        <v>-7.9484214126221596E-5</v>
      </c>
      <c r="G86" s="2"/>
      <c r="H86" s="7"/>
      <c r="I86" s="2"/>
      <c r="J86" s="6">
        <f t="shared" si="38"/>
        <v>0</v>
      </c>
      <c r="K86" s="2"/>
      <c r="L86" s="7">
        <f t="shared" si="39"/>
        <v>-43.75</v>
      </c>
      <c r="M86" s="2"/>
      <c r="N86" s="6">
        <f t="shared" si="40"/>
        <v>0</v>
      </c>
      <c r="O86" s="11"/>
      <c r="P86" s="7">
        <v>-66.239999999999995</v>
      </c>
      <c r="Q86" s="2"/>
      <c r="R86" s="6">
        <f t="shared" si="41"/>
        <v>-2.3094872855594944E-5</v>
      </c>
      <c r="S86" s="2"/>
      <c r="T86" s="7"/>
      <c r="U86" s="2"/>
      <c r="V86" s="6">
        <f t="shared" si="42"/>
        <v>0</v>
      </c>
      <c r="W86" s="2"/>
      <c r="X86" s="7">
        <f t="shared" si="43"/>
        <v>-66.239999999999995</v>
      </c>
      <c r="Y86" s="2"/>
      <c r="Z86" s="6">
        <f t="shared" si="44"/>
        <v>0</v>
      </c>
    </row>
    <row r="87" spans="1:26" s="28" customFormat="1" outlineLevel="1" collapsed="1" x14ac:dyDescent="0.25">
      <c r="A87" s="29"/>
      <c r="B87" s="14" t="str">
        <f>CONCATENATE("     ","Donations                                         ")</f>
        <v xml:space="preserve">     Donations                                         </v>
      </c>
      <c r="C87" s="14"/>
      <c r="D87" s="1">
        <f>SUM(OSRRefD22_7x_0)</f>
        <v>1483.48</v>
      </c>
      <c r="E87" s="1"/>
      <c r="F87" s="5">
        <f t="shared" ref="F87:F95" si="45">IF(D$12=0,0,D87/D$12)</f>
        <v>2.695159816502108E-3</v>
      </c>
      <c r="G87" s="1"/>
      <c r="H87" s="1">
        <f>SUM(OSRRefH22_7x_0)</f>
        <v>1250</v>
      </c>
      <c r="I87" s="1"/>
      <c r="J87" s="5">
        <f t="shared" ref="J87:J95" si="46">IF(H$12=0,0,H87/H$12)</f>
        <v>3.2672648810846273E-3</v>
      </c>
      <c r="K87" s="1"/>
      <c r="L87" s="1">
        <f t="shared" ref="L87:L95" si="47">+D87-H87</f>
        <v>233.48000000000002</v>
      </c>
      <c r="M87" s="1"/>
      <c r="N87" s="5">
        <f t="shared" ref="N87:N95" si="48">IF(H87=0,0,L87/H87)</f>
        <v>0.18678400000000001</v>
      </c>
      <c r="O87" s="14"/>
      <c r="P87" s="1">
        <f>SUM(OSRRefP22_7x_0)</f>
        <v>1483.48</v>
      </c>
      <c r="Q87" s="1"/>
      <c r="R87" s="5">
        <f t="shared" ref="R87:R95" si="49">IF(P$12=0,0,P87/P$12)</f>
        <v>5.1722195023879824E-4</v>
      </c>
      <c r="S87" s="1"/>
      <c r="T87" s="1">
        <f>SUM(OSRRefT22_7x_0)</f>
        <v>5000</v>
      </c>
      <c r="U87" s="1"/>
      <c r="V87" s="5">
        <f t="shared" ref="V87:V95" si="50">IF(T$12=0,0,T87/T$12)</f>
        <v>1.1702265347930583E-3</v>
      </c>
      <c r="W87" s="1"/>
      <c r="X87" s="1">
        <f t="shared" ref="X87:X95" si="51">+P87-T87</f>
        <v>-3516.52</v>
      </c>
      <c r="Y87" s="1"/>
      <c r="Z87" s="5">
        <f t="shared" ref="Z87:Z95" si="52">IF(T87=0,0,X87/T87)</f>
        <v>-0.70330400000000004</v>
      </c>
    </row>
    <row r="88" spans="1:26" s="24" customFormat="1" hidden="1" outlineLevel="2" x14ac:dyDescent="0.25">
      <c r="A88" s="27"/>
      <c r="B88" s="11" t="str">
        <f>CONCATENATE("          ", "6399", " - ", "DONATION-ON CAMPUS")</f>
        <v xml:space="preserve">          6399 - DONATION-ON CAMPUS</v>
      </c>
      <c r="C88" s="11"/>
      <c r="D88" s="7">
        <v>1483.48</v>
      </c>
      <c r="E88" s="2"/>
      <c r="F88" s="6">
        <f t="shared" si="45"/>
        <v>2.695159816502108E-3</v>
      </c>
      <c r="G88" s="2"/>
      <c r="H88" s="7">
        <v>1250</v>
      </c>
      <c r="I88" s="2"/>
      <c r="J88" s="6">
        <f t="shared" si="46"/>
        <v>3.2672648810846273E-3</v>
      </c>
      <c r="K88" s="2"/>
      <c r="L88" s="7">
        <f t="shared" si="47"/>
        <v>233.48000000000002</v>
      </c>
      <c r="M88" s="2"/>
      <c r="N88" s="6">
        <f t="shared" si="48"/>
        <v>0.18678400000000001</v>
      </c>
      <c r="O88" s="11"/>
      <c r="P88" s="7">
        <v>1483.48</v>
      </c>
      <c r="Q88" s="2"/>
      <c r="R88" s="6">
        <f t="shared" si="49"/>
        <v>5.1722195023879824E-4</v>
      </c>
      <c r="S88" s="2"/>
      <c r="T88" s="7">
        <v>5000</v>
      </c>
      <c r="U88" s="2"/>
      <c r="V88" s="6">
        <f t="shared" si="50"/>
        <v>1.1702265347930583E-3</v>
      </c>
      <c r="W88" s="2"/>
      <c r="X88" s="7">
        <f t="shared" si="51"/>
        <v>-3516.52</v>
      </c>
      <c r="Y88" s="2"/>
      <c r="Z88" s="6">
        <f t="shared" si="52"/>
        <v>-0.70330400000000004</v>
      </c>
    </row>
    <row r="89" spans="1:26" s="28" customFormat="1" outlineLevel="1" collapsed="1" x14ac:dyDescent="0.25">
      <c r="A89" s="29"/>
      <c r="B89" s="14" t="str">
        <f>CONCATENATE("     ","Employees' Appreciation                           ")</f>
        <v xml:space="preserve">     Employees' Appreciation                           </v>
      </c>
      <c r="C89" s="14"/>
      <c r="D89" s="1">
        <f>SUM(OSRRefD22_8x_0)</f>
        <v>0</v>
      </c>
      <c r="E89" s="1"/>
      <c r="F89" s="5">
        <f t="shared" si="45"/>
        <v>0</v>
      </c>
      <c r="G89" s="1"/>
      <c r="H89" s="1">
        <f>SUM(OSRRefH22_8x_0)</f>
        <v>225</v>
      </c>
      <c r="I89" s="1"/>
      <c r="J89" s="5">
        <f t="shared" si="46"/>
        <v>5.8810767859523289E-4</v>
      </c>
      <c r="K89" s="1"/>
      <c r="L89" s="1">
        <f t="shared" si="47"/>
        <v>-225</v>
      </c>
      <c r="M89" s="1"/>
      <c r="N89" s="5">
        <f t="shared" si="48"/>
        <v>-1</v>
      </c>
      <c r="O89" s="14"/>
      <c r="P89" s="1">
        <f>SUM(OSRRefP22_8x_0)</f>
        <v>1384.63</v>
      </c>
      <c r="Q89" s="1"/>
      <c r="R89" s="5">
        <f t="shared" si="49"/>
        <v>4.8275745474097876E-4</v>
      </c>
      <c r="S89" s="1"/>
      <c r="T89" s="1">
        <f>SUM(OSRRefT22_8x_0)</f>
        <v>900</v>
      </c>
      <c r="U89" s="1"/>
      <c r="V89" s="5">
        <f t="shared" si="50"/>
        <v>2.1064077626275051E-4</v>
      </c>
      <c r="W89" s="1"/>
      <c r="X89" s="1">
        <f t="shared" si="51"/>
        <v>484.63000000000011</v>
      </c>
      <c r="Y89" s="1"/>
      <c r="Z89" s="5">
        <f t="shared" si="52"/>
        <v>0.53847777777777794</v>
      </c>
    </row>
    <row r="90" spans="1:26" s="24" customFormat="1" hidden="1" outlineLevel="2" x14ac:dyDescent="0.25">
      <c r="A90" s="27"/>
      <c r="B90" s="11" t="str">
        <f>CONCATENATE("          ", "6277", " - ", "EMPLOYEE APPRECIATION")</f>
        <v xml:space="preserve">          6277 - EMPLOYEE APPRECIATION</v>
      </c>
      <c r="C90" s="11"/>
      <c r="D90" s="7"/>
      <c r="E90" s="2"/>
      <c r="F90" s="6">
        <f t="shared" si="45"/>
        <v>0</v>
      </c>
      <c r="G90" s="2"/>
      <c r="H90" s="7">
        <v>225</v>
      </c>
      <c r="I90" s="2"/>
      <c r="J90" s="6">
        <f t="shared" si="46"/>
        <v>5.8810767859523289E-4</v>
      </c>
      <c r="K90" s="2"/>
      <c r="L90" s="7">
        <f t="shared" si="47"/>
        <v>-225</v>
      </c>
      <c r="M90" s="2"/>
      <c r="N90" s="6">
        <f t="shared" si="48"/>
        <v>-1</v>
      </c>
      <c r="O90" s="11"/>
      <c r="P90" s="7">
        <v>1384.63</v>
      </c>
      <c r="Q90" s="2"/>
      <c r="R90" s="6">
        <f t="shared" si="49"/>
        <v>4.8275745474097876E-4</v>
      </c>
      <c r="S90" s="2"/>
      <c r="T90" s="7">
        <v>900</v>
      </c>
      <c r="U90" s="2"/>
      <c r="V90" s="6">
        <f t="shared" si="50"/>
        <v>2.1064077626275051E-4</v>
      </c>
      <c r="W90" s="2"/>
      <c r="X90" s="7">
        <f t="shared" si="51"/>
        <v>484.63000000000011</v>
      </c>
      <c r="Y90" s="2"/>
      <c r="Z90" s="6">
        <f t="shared" si="52"/>
        <v>0.53847777777777794</v>
      </c>
    </row>
    <row r="91" spans="1:26" s="28" customFormat="1" outlineLevel="1" collapsed="1" x14ac:dyDescent="0.25">
      <c r="A91" s="29"/>
      <c r="B91" s="14" t="str">
        <f>CONCATENATE("     ","Equipment Rental                                  ")</f>
        <v xml:space="preserve">     Equipment Rental                                  </v>
      </c>
      <c r="C91" s="14"/>
      <c r="D91" s="1">
        <f>SUM(OSRRefD22_9x_0)</f>
        <v>1531.35</v>
      </c>
      <c r="E91" s="1"/>
      <c r="F91" s="5">
        <f t="shared" si="45"/>
        <v>2.782129172621473E-3</v>
      </c>
      <c r="G91" s="1"/>
      <c r="H91" s="1">
        <f>SUM(OSRRefH22_9x_0)</f>
        <v>1700</v>
      </c>
      <c r="I91" s="1"/>
      <c r="J91" s="5">
        <f t="shared" si="46"/>
        <v>4.4434802382750929E-3</v>
      </c>
      <c r="K91" s="1"/>
      <c r="L91" s="1">
        <f t="shared" si="47"/>
        <v>-168.65000000000009</v>
      </c>
      <c r="M91" s="1"/>
      <c r="N91" s="5">
        <f t="shared" si="48"/>
        <v>-9.9205882352941227E-2</v>
      </c>
      <c r="O91" s="14"/>
      <c r="P91" s="1">
        <f>SUM(OSRRefP22_9x_0)</f>
        <v>6611.4</v>
      </c>
      <c r="Q91" s="1"/>
      <c r="R91" s="5">
        <f t="shared" si="49"/>
        <v>2.3050942390923975E-3</v>
      </c>
      <c r="S91" s="1"/>
      <c r="T91" s="1">
        <f>SUM(OSRRefT22_9x_0)</f>
        <v>6600</v>
      </c>
      <c r="U91" s="1"/>
      <c r="V91" s="5">
        <f t="shared" si="50"/>
        <v>1.5446990259268369E-3</v>
      </c>
      <c r="W91" s="1"/>
      <c r="X91" s="1">
        <f t="shared" si="51"/>
        <v>11.399999999999636</v>
      </c>
      <c r="Y91" s="1"/>
      <c r="Z91" s="5">
        <f t="shared" si="52"/>
        <v>1.7272727272726722E-3</v>
      </c>
    </row>
    <row r="92" spans="1:26" s="24" customFormat="1" hidden="1" outlineLevel="2" x14ac:dyDescent="0.25">
      <c r="A92" s="27"/>
      <c r="B92" s="11" t="str">
        <f>CONCATENATE("          ", "6351", " - ", "EQUIPMENT RENTAL")</f>
        <v xml:space="preserve">          6351 - EQUIPMENT RENTAL</v>
      </c>
      <c r="C92" s="11"/>
      <c r="D92" s="7">
        <v>1531.35</v>
      </c>
      <c r="E92" s="2"/>
      <c r="F92" s="6">
        <f t="shared" si="45"/>
        <v>2.782129172621473E-3</v>
      </c>
      <c r="G92" s="2"/>
      <c r="H92" s="7">
        <v>1700</v>
      </c>
      <c r="I92" s="2"/>
      <c r="J92" s="6">
        <f t="shared" si="46"/>
        <v>4.4434802382750929E-3</v>
      </c>
      <c r="K92" s="2"/>
      <c r="L92" s="7">
        <f t="shared" si="47"/>
        <v>-168.65000000000009</v>
      </c>
      <c r="M92" s="2"/>
      <c r="N92" s="6">
        <f t="shared" si="48"/>
        <v>-9.9205882352941227E-2</v>
      </c>
      <c r="O92" s="11"/>
      <c r="P92" s="7">
        <v>6611.4</v>
      </c>
      <c r="Q92" s="2"/>
      <c r="R92" s="6">
        <f t="shared" si="49"/>
        <v>2.3050942390923975E-3</v>
      </c>
      <c r="S92" s="2"/>
      <c r="T92" s="7">
        <v>6600</v>
      </c>
      <c r="U92" s="2"/>
      <c r="V92" s="6">
        <f t="shared" si="50"/>
        <v>1.5446990259268369E-3</v>
      </c>
      <c r="W92" s="2"/>
      <c r="X92" s="7">
        <f t="shared" si="51"/>
        <v>11.399999999999636</v>
      </c>
      <c r="Y92" s="2"/>
      <c r="Z92" s="6">
        <f t="shared" si="52"/>
        <v>1.7272727272726722E-3</v>
      </c>
    </row>
    <row r="93" spans="1:26" s="28" customFormat="1" outlineLevel="1" collapsed="1" x14ac:dyDescent="0.25">
      <c r="A93" s="29"/>
      <c r="B93" s="14" t="str">
        <f>CONCATENATE("     ","Freight out/Postage                               ")</f>
        <v xml:space="preserve">     Freight out/Postage                               </v>
      </c>
      <c r="C93" s="14"/>
      <c r="D93" s="1">
        <f>SUM(OSRRefD22_10x_0)</f>
        <v>-23519.489999999998</v>
      </c>
      <c r="E93" s="1"/>
      <c r="F93" s="5">
        <f t="shared" si="45"/>
        <v>-4.2729786955417771E-2</v>
      </c>
      <c r="G93" s="1"/>
      <c r="H93" s="1">
        <f>SUM(OSRRefH22_10x_0)</f>
        <v>45250</v>
      </c>
      <c r="I93" s="1"/>
      <c r="J93" s="5">
        <f t="shared" si="46"/>
        <v>0.11827498869526351</v>
      </c>
      <c r="K93" s="1"/>
      <c r="L93" s="1">
        <f t="shared" si="47"/>
        <v>-68769.489999999991</v>
      </c>
      <c r="M93" s="1"/>
      <c r="N93" s="5">
        <f t="shared" si="48"/>
        <v>-1.5197677348066296</v>
      </c>
      <c r="O93" s="14"/>
      <c r="P93" s="1">
        <f>SUM(OSRRefP22_10x_0)</f>
        <v>-35649.289999999994</v>
      </c>
      <c r="Q93" s="1"/>
      <c r="R93" s="5">
        <f t="shared" si="49"/>
        <v>-1.2429284721350124E-2</v>
      </c>
      <c r="S93" s="1"/>
      <c r="T93" s="1">
        <f>SUM(OSRRefT22_10x_0)</f>
        <v>-2000</v>
      </c>
      <c r="U93" s="1"/>
      <c r="V93" s="5">
        <f t="shared" si="50"/>
        <v>-4.6809061391722332E-4</v>
      </c>
      <c r="W93" s="1"/>
      <c r="X93" s="1">
        <f t="shared" si="51"/>
        <v>-33649.289999999994</v>
      </c>
      <c r="Y93" s="1"/>
      <c r="Z93" s="5">
        <f t="shared" si="52"/>
        <v>16.824644999999997</v>
      </c>
    </row>
    <row r="94" spans="1:26" s="24" customFormat="1" hidden="1" outlineLevel="2" x14ac:dyDescent="0.25">
      <c r="A94" s="27"/>
      <c r="B94" s="11" t="str">
        <f>CONCATENATE("          ", "6305", " - ", "FREIGHT OUT")</f>
        <v xml:space="preserve">          6305 - FREIGHT OUT</v>
      </c>
      <c r="C94" s="11"/>
      <c r="D94" s="7">
        <v>26185.08</v>
      </c>
      <c r="E94" s="2"/>
      <c r="F94" s="6">
        <f t="shared" si="45"/>
        <v>4.7572582985879838E-2</v>
      </c>
      <c r="G94" s="2"/>
      <c r="H94" s="7">
        <v>56850</v>
      </c>
      <c r="I94" s="2"/>
      <c r="J94" s="6">
        <f t="shared" si="46"/>
        <v>0.14859520679172886</v>
      </c>
      <c r="K94" s="2"/>
      <c r="L94" s="7">
        <f t="shared" si="47"/>
        <v>-30664.92</v>
      </c>
      <c r="M94" s="2"/>
      <c r="N94" s="6">
        <f t="shared" si="48"/>
        <v>-0.53940052770448543</v>
      </c>
      <c r="O94" s="11"/>
      <c r="P94" s="7">
        <v>54764.89</v>
      </c>
      <c r="Q94" s="2"/>
      <c r="R94" s="6">
        <f t="shared" si="49"/>
        <v>1.9094024328210193E-2</v>
      </c>
      <c r="S94" s="2"/>
      <c r="T94" s="7">
        <v>74900</v>
      </c>
      <c r="U94" s="2"/>
      <c r="V94" s="6">
        <f t="shared" si="50"/>
        <v>1.7529993491200012E-2</v>
      </c>
      <c r="W94" s="2"/>
      <c r="X94" s="7">
        <f t="shared" si="51"/>
        <v>-20135.11</v>
      </c>
      <c r="Y94" s="2"/>
      <c r="Z94" s="6">
        <f t="shared" si="52"/>
        <v>-0.26882656875834449</v>
      </c>
    </row>
    <row r="95" spans="1:26" s="24" customFormat="1" hidden="1" outlineLevel="2" x14ac:dyDescent="0.25">
      <c r="A95" s="27"/>
      <c r="B95" s="11" t="str">
        <f>CONCATENATE("          ", "6307", " - ", "POSTAGE")</f>
        <v xml:space="preserve">          6307 - POSTAGE</v>
      </c>
      <c r="C95" s="11"/>
      <c r="D95" s="7">
        <v>-49704.57</v>
      </c>
      <c r="E95" s="2"/>
      <c r="F95" s="6">
        <f t="shared" si="45"/>
        <v>-9.0302369941297603E-2</v>
      </c>
      <c r="G95" s="2"/>
      <c r="H95" s="7">
        <v>-11600</v>
      </c>
      <c r="I95" s="2"/>
      <c r="J95" s="6">
        <f t="shared" si="46"/>
        <v>-3.0320218096465342E-2</v>
      </c>
      <c r="K95" s="2"/>
      <c r="L95" s="7">
        <f t="shared" si="47"/>
        <v>-38104.57</v>
      </c>
      <c r="M95" s="2"/>
      <c r="N95" s="6">
        <f t="shared" si="48"/>
        <v>3.2848767241379311</v>
      </c>
      <c r="O95" s="11"/>
      <c r="P95" s="7">
        <v>-90414.18</v>
      </c>
      <c r="Q95" s="2"/>
      <c r="R95" s="6">
        <f t="shared" si="49"/>
        <v>-3.1523309049560314E-2</v>
      </c>
      <c r="S95" s="2"/>
      <c r="T95" s="7">
        <v>-76900</v>
      </c>
      <c r="U95" s="2"/>
      <c r="V95" s="6">
        <f t="shared" si="50"/>
        <v>-1.7998084105117235E-2</v>
      </c>
      <c r="W95" s="2"/>
      <c r="X95" s="7">
        <f t="shared" si="51"/>
        <v>-13514.179999999993</v>
      </c>
      <c r="Y95" s="2"/>
      <c r="Z95" s="6">
        <f t="shared" si="52"/>
        <v>0.1757370611183354</v>
      </c>
    </row>
    <row r="96" spans="1:26" s="28" customFormat="1" outlineLevel="1" collapsed="1" x14ac:dyDescent="0.25">
      <c r="A96" s="29"/>
      <c r="B96" s="14" t="str">
        <f>CONCATENATE("     ","General                                           ")</f>
        <v xml:space="preserve">     General                                           </v>
      </c>
      <c r="C96" s="14"/>
      <c r="D96" s="1">
        <f>SUM(OSRRefD22_11x_0)</f>
        <v>327.5</v>
      </c>
      <c r="E96" s="1"/>
      <c r="F96" s="5">
        <f t="shared" ref="F96:F98" si="53">IF(D$12=0,0,D96/D$12)</f>
        <v>5.9499611717343023E-4</v>
      </c>
      <c r="G96" s="1"/>
      <c r="H96" s="1">
        <f>SUM(OSRRefH22_11x_0)</f>
        <v>200</v>
      </c>
      <c r="I96" s="1"/>
      <c r="J96" s="5">
        <f t="shared" ref="J96:J98" si="54">IF(H$12=0,0,H96/H$12)</f>
        <v>5.2276238097354033E-4</v>
      </c>
      <c r="K96" s="1"/>
      <c r="L96" s="1">
        <f t="shared" ref="L96:L98" si="55">+D96-H96</f>
        <v>127.5</v>
      </c>
      <c r="M96" s="1"/>
      <c r="N96" s="5">
        <f t="shared" ref="N96:N98" si="56">IF(H96=0,0,L96/H96)</f>
        <v>0.63749999999999996</v>
      </c>
      <c r="O96" s="14"/>
      <c r="P96" s="1">
        <f>SUM(OSRRefP22_11x_0)</f>
        <v>2194.1</v>
      </c>
      <c r="Q96" s="1"/>
      <c r="R96" s="5">
        <f t="shared" ref="R96:R98" si="57">IF(P$12=0,0,P96/P$12)</f>
        <v>7.64982797893431E-4</v>
      </c>
      <c r="S96" s="1"/>
      <c r="T96" s="1">
        <f>SUM(OSRRefT22_11x_0)</f>
        <v>1050</v>
      </c>
      <c r="U96" s="1"/>
      <c r="V96" s="5">
        <f t="shared" ref="V96:V98" si="58">IF(T$12=0,0,T96/T$12)</f>
        <v>2.4574757230654226E-4</v>
      </c>
      <c r="W96" s="1"/>
      <c r="X96" s="1">
        <f t="shared" ref="X96:X98" si="59">+P96-T96</f>
        <v>1144.0999999999999</v>
      </c>
      <c r="Y96" s="1"/>
      <c r="Z96" s="5">
        <f t="shared" ref="Z96:Z98" si="60">IF(T96=0,0,X96/T96)</f>
        <v>1.0896190476190475</v>
      </c>
    </row>
    <row r="97" spans="1:26" s="24" customFormat="1" hidden="1" outlineLevel="2" x14ac:dyDescent="0.25">
      <c r="A97" s="27"/>
      <c r="B97" s="11" t="str">
        <f>CONCATENATE("          ", "6276", " - ", "PROPERTY TAX")</f>
        <v xml:space="preserve">          6276 - PROPERTY TAX</v>
      </c>
      <c r="C97" s="11"/>
      <c r="D97" s="7"/>
      <c r="E97" s="2"/>
      <c r="F97" s="6">
        <f t="shared" si="53"/>
        <v>0</v>
      </c>
      <c r="G97" s="2"/>
      <c r="H97" s="7"/>
      <c r="I97" s="2"/>
      <c r="J97" s="6">
        <f t="shared" si="54"/>
        <v>0</v>
      </c>
      <c r="K97" s="2"/>
      <c r="L97" s="7">
        <f t="shared" si="55"/>
        <v>0</v>
      </c>
      <c r="M97" s="2"/>
      <c r="N97" s="6">
        <f t="shared" si="56"/>
        <v>0</v>
      </c>
      <c r="O97" s="11"/>
      <c r="P97" s="7"/>
      <c r="Q97" s="2"/>
      <c r="R97" s="6">
        <f t="shared" si="57"/>
        <v>0</v>
      </c>
      <c r="S97" s="2"/>
      <c r="T97" s="7">
        <v>125</v>
      </c>
      <c r="U97" s="2"/>
      <c r="V97" s="6">
        <f t="shared" si="58"/>
        <v>2.9255663369826457E-5</v>
      </c>
      <c r="W97" s="2"/>
      <c r="X97" s="7">
        <f t="shared" si="59"/>
        <v>-125</v>
      </c>
      <c r="Y97" s="2"/>
      <c r="Z97" s="6">
        <f t="shared" si="60"/>
        <v>-1</v>
      </c>
    </row>
    <row r="98" spans="1:26" s="24" customFormat="1" hidden="1" outlineLevel="2" x14ac:dyDescent="0.25">
      <c r="A98" s="27"/>
      <c r="B98" s="11" t="str">
        <f>CONCATENATE("          ", "6279", " - ", "GENERAL EXPENSE")</f>
        <v xml:space="preserve">          6279 - GENERAL EXPENSE</v>
      </c>
      <c r="C98" s="11"/>
      <c r="D98" s="7">
        <v>327.5</v>
      </c>
      <c r="E98" s="2"/>
      <c r="F98" s="6">
        <f t="shared" si="53"/>
        <v>5.9499611717343023E-4</v>
      </c>
      <c r="G98" s="2"/>
      <c r="H98" s="7">
        <v>200</v>
      </c>
      <c r="I98" s="2"/>
      <c r="J98" s="6">
        <f t="shared" si="54"/>
        <v>5.2276238097354033E-4</v>
      </c>
      <c r="K98" s="2"/>
      <c r="L98" s="7">
        <f t="shared" si="55"/>
        <v>127.5</v>
      </c>
      <c r="M98" s="2"/>
      <c r="N98" s="6">
        <f t="shared" si="56"/>
        <v>0.63749999999999996</v>
      </c>
      <c r="O98" s="11"/>
      <c r="P98" s="7">
        <v>2194.1</v>
      </c>
      <c r="Q98" s="2"/>
      <c r="R98" s="6">
        <f t="shared" si="57"/>
        <v>7.64982797893431E-4</v>
      </c>
      <c r="S98" s="2"/>
      <c r="T98" s="7">
        <v>925</v>
      </c>
      <c r="U98" s="2"/>
      <c r="V98" s="6">
        <f t="shared" si="58"/>
        <v>2.1649190893671579E-4</v>
      </c>
      <c r="W98" s="2"/>
      <c r="X98" s="7">
        <f t="shared" si="59"/>
        <v>1269.0999999999999</v>
      </c>
      <c r="Y98" s="2"/>
      <c r="Z98" s="6">
        <f t="shared" si="60"/>
        <v>1.3719999999999999</v>
      </c>
    </row>
    <row r="99" spans="1:26" s="28" customFormat="1" outlineLevel="1" collapsed="1" x14ac:dyDescent="0.25">
      <c r="A99" s="29"/>
      <c r="B99" s="14" t="str">
        <f>CONCATENATE("     ","Insurance                                         ")</f>
        <v xml:space="preserve">     Insurance                                         </v>
      </c>
      <c r="C99" s="14"/>
      <c r="D99" s="1">
        <f>SUM(OSRRefD22_12x_0)</f>
        <v>5494.57</v>
      </c>
      <c r="E99" s="1"/>
      <c r="F99" s="5">
        <f t="shared" ref="F99:F111" si="61">IF(D$12=0,0,D99/D$12)</f>
        <v>9.9824360779774499E-3</v>
      </c>
      <c r="G99" s="1"/>
      <c r="H99" s="1">
        <f>SUM(OSRRefH22_12x_0)</f>
        <v>5375</v>
      </c>
      <c r="I99" s="1"/>
      <c r="J99" s="5">
        <f t="shared" ref="J99:J111" si="62">IF(H$12=0,0,H99/H$12)</f>
        <v>1.4049238988663898E-2</v>
      </c>
      <c r="K99" s="1"/>
      <c r="L99" s="1">
        <f t="shared" ref="L99:L111" si="63">+D99-H99</f>
        <v>119.56999999999971</v>
      </c>
      <c r="M99" s="1"/>
      <c r="N99" s="5">
        <f t="shared" ref="N99:N111" si="64">IF(H99=0,0,L99/H99)</f>
        <v>2.2245581395348782E-2</v>
      </c>
      <c r="O99" s="14"/>
      <c r="P99" s="1">
        <f>SUM(OSRRefP22_12x_0)</f>
        <v>21978.28</v>
      </c>
      <c r="Q99" s="1"/>
      <c r="R99" s="5">
        <f t="shared" ref="R99:R111" si="65">IF(P$12=0,0,P99/P$12)</f>
        <v>7.6628258180052129E-3</v>
      </c>
      <c r="S99" s="1"/>
      <c r="T99" s="1">
        <f>SUM(OSRRefT22_12x_0)</f>
        <v>21500</v>
      </c>
      <c r="U99" s="1"/>
      <c r="V99" s="5">
        <f t="shared" ref="V99:V111" si="66">IF(T$12=0,0,T99/T$12)</f>
        <v>5.0319740996101507E-3</v>
      </c>
      <c r="W99" s="1"/>
      <c r="X99" s="1">
        <f t="shared" ref="X99:X111" si="67">+P99-T99</f>
        <v>478.27999999999884</v>
      </c>
      <c r="Y99" s="1"/>
      <c r="Z99" s="5">
        <f t="shared" ref="Z99:Z111" si="68">IF(T99=0,0,X99/T99)</f>
        <v>2.2245581395348782E-2</v>
      </c>
    </row>
    <row r="100" spans="1:26" s="24" customFormat="1" hidden="1" outlineLevel="2" x14ac:dyDescent="0.25">
      <c r="A100" s="27"/>
      <c r="B100" s="11" t="str">
        <f>CONCATENATE("          ", "6314", " - ", "LIABILITY INSURANCE")</f>
        <v xml:space="preserve">          6314 - LIABILITY INSURANCE</v>
      </c>
      <c r="C100" s="11"/>
      <c r="D100" s="7">
        <v>5494.57</v>
      </c>
      <c r="E100" s="2"/>
      <c r="F100" s="6">
        <f t="shared" si="61"/>
        <v>9.9824360779774499E-3</v>
      </c>
      <c r="G100" s="2"/>
      <c r="H100" s="7">
        <v>5375</v>
      </c>
      <c r="I100" s="2"/>
      <c r="J100" s="6">
        <f t="shared" si="62"/>
        <v>1.4049238988663898E-2</v>
      </c>
      <c r="K100" s="2"/>
      <c r="L100" s="7">
        <f t="shared" si="63"/>
        <v>119.56999999999971</v>
      </c>
      <c r="M100" s="2"/>
      <c r="N100" s="6">
        <f t="shared" si="64"/>
        <v>2.2245581395348782E-2</v>
      </c>
      <c r="O100" s="11"/>
      <c r="P100" s="7">
        <v>21978.28</v>
      </c>
      <c r="Q100" s="2"/>
      <c r="R100" s="6">
        <f t="shared" si="65"/>
        <v>7.6628258180052129E-3</v>
      </c>
      <c r="S100" s="2"/>
      <c r="T100" s="7">
        <v>21500</v>
      </c>
      <c r="U100" s="2"/>
      <c r="V100" s="6">
        <f t="shared" si="66"/>
        <v>5.0319740996101507E-3</v>
      </c>
      <c r="W100" s="2"/>
      <c r="X100" s="7">
        <f t="shared" si="67"/>
        <v>478.27999999999884</v>
      </c>
      <c r="Y100" s="2"/>
      <c r="Z100" s="6">
        <f t="shared" si="68"/>
        <v>2.2245581395348782E-2</v>
      </c>
    </row>
    <row r="101" spans="1:26" s="28" customFormat="1" outlineLevel="1" collapsed="1" x14ac:dyDescent="0.25">
      <c r="A101" s="29"/>
      <c r="B101" s="14" t="str">
        <f>CONCATENATE("     ","Inventory Adjustment                              ")</f>
        <v xml:space="preserve">     Inventory Adjustment                              </v>
      </c>
      <c r="C101" s="14"/>
      <c r="D101" s="1">
        <f>SUM(OSRRefD22_13x_0)</f>
        <v>5100</v>
      </c>
      <c r="E101" s="1"/>
      <c r="F101" s="5">
        <f t="shared" si="61"/>
        <v>9.2655883895709761E-3</v>
      </c>
      <c r="G101" s="1"/>
      <c r="H101" s="1">
        <f>SUM(OSRRefH22_13x_0)</f>
        <v>5100</v>
      </c>
      <c r="I101" s="1"/>
      <c r="J101" s="5">
        <f t="shared" si="62"/>
        <v>1.333044071482528E-2</v>
      </c>
      <c r="K101" s="1"/>
      <c r="L101" s="1">
        <f t="shared" si="63"/>
        <v>0</v>
      </c>
      <c r="M101" s="1"/>
      <c r="N101" s="5">
        <f t="shared" si="64"/>
        <v>0</v>
      </c>
      <c r="O101" s="14"/>
      <c r="P101" s="1">
        <f>SUM(OSRRefP22_13x_0)</f>
        <v>20400</v>
      </c>
      <c r="Q101" s="1"/>
      <c r="R101" s="5">
        <f t="shared" si="65"/>
        <v>7.1125514229187338E-3</v>
      </c>
      <c r="S101" s="1"/>
      <c r="T101" s="1">
        <f>SUM(OSRRefT22_13x_0)</f>
        <v>20400</v>
      </c>
      <c r="U101" s="1"/>
      <c r="V101" s="5">
        <f t="shared" si="66"/>
        <v>4.7745242619556781E-3</v>
      </c>
      <c r="W101" s="1"/>
      <c r="X101" s="1">
        <f t="shared" si="67"/>
        <v>0</v>
      </c>
      <c r="Y101" s="1"/>
      <c r="Z101" s="5">
        <f t="shared" si="68"/>
        <v>0</v>
      </c>
    </row>
    <row r="102" spans="1:26" s="24" customFormat="1" hidden="1" outlineLevel="2" x14ac:dyDescent="0.25">
      <c r="A102" s="27"/>
      <c r="B102" s="11" t="str">
        <f>CONCATENATE("          ", "6408", " - ", "INVENTORY ADJUSTMENT")</f>
        <v xml:space="preserve">          6408 - INVENTORY ADJUSTMENT</v>
      </c>
      <c r="C102" s="11"/>
      <c r="D102" s="7">
        <v>5100</v>
      </c>
      <c r="E102" s="2"/>
      <c r="F102" s="6">
        <f t="shared" si="61"/>
        <v>9.2655883895709761E-3</v>
      </c>
      <c r="G102" s="2"/>
      <c r="H102" s="7">
        <v>5100</v>
      </c>
      <c r="I102" s="2"/>
      <c r="J102" s="6">
        <f t="shared" si="62"/>
        <v>1.333044071482528E-2</v>
      </c>
      <c r="K102" s="2"/>
      <c r="L102" s="7">
        <f t="shared" si="63"/>
        <v>0</v>
      </c>
      <c r="M102" s="2"/>
      <c r="N102" s="6">
        <f t="shared" si="64"/>
        <v>0</v>
      </c>
      <c r="O102" s="11"/>
      <c r="P102" s="7">
        <v>20400</v>
      </c>
      <c r="Q102" s="2"/>
      <c r="R102" s="6">
        <f t="shared" si="65"/>
        <v>7.1125514229187338E-3</v>
      </c>
      <c r="S102" s="2"/>
      <c r="T102" s="7">
        <v>20400</v>
      </c>
      <c r="U102" s="2"/>
      <c r="V102" s="6">
        <f t="shared" si="66"/>
        <v>4.7745242619556781E-3</v>
      </c>
      <c r="W102" s="2"/>
      <c r="X102" s="7">
        <f t="shared" si="67"/>
        <v>0</v>
      </c>
      <c r="Y102" s="2"/>
      <c r="Z102" s="6">
        <f t="shared" si="68"/>
        <v>0</v>
      </c>
    </row>
    <row r="103" spans="1:26" s="28" customFormat="1" outlineLevel="1" collapsed="1" x14ac:dyDescent="0.25">
      <c r="A103" s="29"/>
      <c r="B103" s="14" t="str">
        <f>CONCATENATE("     ","Professional Services                             ")</f>
        <v xml:space="preserve">     Professional Services                             </v>
      </c>
      <c r="C103" s="14"/>
      <c r="D103" s="1">
        <f>SUM(OSRRefD22_14x_0)</f>
        <v>8186.53</v>
      </c>
      <c r="E103" s="1"/>
      <c r="F103" s="5">
        <f t="shared" si="61"/>
        <v>1.4873140650759701E-2</v>
      </c>
      <c r="G103" s="1"/>
      <c r="H103" s="1">
        <f>SUM(OSRRefH22_14x_0)</f>
        <v>250</v>
      </c>
      <c r="I103" s="1"/>
      <c r="J103" s="5">
        <f t="shared" si="62"/>
        <v>6.5345297621692544E-4</v>
      </c>
      <c r="K103" s="1"/>
      <c r="L103" s="1">
        <f t="shared" si="63"/>
        <v>7936.53</v>
      </c>
      <c r="M103" s="1"/>
      <c r="N103" s="5">
        <f t="shared" si="64"/>
        <v>31.746119999999998</v>
      </c>
      <c r="O103" s="14"/>
      <c r="P103" s="1">
        <f>SUM(OSRRefP22_14x_0)</f>
        <v>8186.53</v>
      </c>
      <c r="Q103" s="1"/>
      <c r="R103" s="5">
        <f t="shared" si="65"/>
        <v>2.854270372562103E-3</v>
      </c>
      <c r="S103" s="1"/>
      <c r="T103" s="1">
        <f>SUM(OSRRefT22_14x_0)</f>
        <v>1250</v>
      </c>
      <c r="U103" s="1"/>
      <c r="V103" s="5">
        <f t="shared" si="66"/>
        <v>2.9255663369826457E-4</v>
      </c>
      <c r="W103" s="1"/>
      <c r="X103" s="1">
        <f t="shared" si="67"/>
        <v>6936.53</v>
      </c>
      <c r="Y103" s="1"/>
      <c r="Z103" s="5">
        <f t="shared" si="68"/>
        <v>5.5492239999999997</v>
      </c>
    </row>
    <row r="104" spans="1:26" s="24" customFormat="1" hidden="1" outlineLevel="2" x14ac:dyDescent="0.25">
      <c r="A104" s="27"/>
      <c r="B104" s="11" t="str">
        <f>CONCATENATE("          ", "6336", " - ", "PROFESSIONAL SERVICES")</f>
        <v xml:space="preserve">          6336 - PROFESSIONAL SERVICES</v>
      </c>
      <c r="C104" s="11"/>
      <c r="D104" s="7">
        <v>8186.53</v>
      </c>
      <c r="E104" s="2"/>
      <c r="F104" s="6">
        <f t="shared" si="61"/>
        <v>1.4873140650759701E-2</v>
      </c>
      <c r="G104" s="2"/>
      <c r="H104" s="7">
        <v>250</v>
      </c>
      <c r="I104" s="2"/>
      <c r="J104" s="6">
        <f t="shared" si="62"/>
        <v>6.5345297621692544E-4</v>
      </c>
      <c r="K104" s="2"/>
      <c r="L104" s="7">
        <f t="shared" si="63"/>
        <v>7936.53</v>
      </c>
      <c r="M104" s="2"/>
      <c r="N104" s="6">
        <f t="shared" si="64"/>
        <v>31.746119999999998</v>
      </c>
      <c r="O104" s="11"/>
      <c r="P104" s="7">
        <v>8186.53</v>
      </c>
      <c r="Q104" s="2"/>
      <c r="R104" s="6">
        <f t="shared" si="65"/>
        <v>2.854270372562103E-3</v>
      </c>
      <c r="S104" s="2"/>
      <c r="T104" s="7">
        <v>1250</v>
      </c>
      <c r="U104" s="2"/>
      <c r="V104" s="6">
        <f t="shared" si="66"/>
        <v>2.9255663369826457E-4</v>
      </c>
      <c r="W104" s="2"/>
      <c r="X104" s="7">
        <f t="shared" si="67"/>
        <v>6936.53</v>
      </c>
      <c r="Y104" s="2"/>
      <c r="Z104" s="6">
        <f t="shared" si="68"/>
        <v>5.5492239999999997</v>
      </c>
    </row>
    <row r="105" spans="1:26" s="28" customFormat="1" outlineLevel="1" collapsed="1" x14ac:dyDescent="0.25">
      <c r="A105" s="29"/>
      <c r="B105" s="14" t="str">
        <f>CONCATENATE("     ","Rent                                              ")</f>
        <v xml:space="preserve">     Rent                                              </v>
      </c>
      <c r="C105" s="14"/>
      <c r="D105" s="1">
        <f>SUM(OSRRefD22_15x_0)</f>
        <v>6100</v>
      </c>
      <c r="E105" s="1"/>
      <c r="F105" s="5">
        <f t="shared" si="61"/>
        <v>1.1082370426741754E-2</v>
      </c>
      <c r="G105" s="1"/>
      <c r="H105" s="1">
        <f>SUM(OSRRefH22_15x_0)</f>
        <v>6100</v>
      </c>
      <c r="I105" s="1"/>
      <c r="J105" s="5">
        <f t="shared" si="62"/>
        <v>1.594425261969298E-2</v>
      </c>
      <c r="K105" s="1"/>
      <c r="L105" s="1">
        <f t="shared" si="63"/>
        <v>0</v>
      </c>
      <c r="M105" s="1"/>
      <c r="N105" s="5">
        <f t="shared" si="64"/>
        <v>0</v>
      </c>
      <c r="O105" s="14"/>
      <c r="P105" s="1">
        <f>SUM(OSRRefP22_15x_0)</f>
        <v>24400</v>
      </c>
      <c r="Q105" s="1"/>
      <c r="R105" s="5">
        <f t="shared" si="65"/>
        <v>8.5071693489812313E-3</v>
      </c>
      <c r="S105" s="1"/>
      <c r="T105" s="1">
        <f>SUM(OSRRefT22_15x_0)</f>
        <v>24400</v>
      </c>
      <c r="U105" s="1"/>
      <c r="V105" s="5">
        <f t="shared" si="66"/>
        <v>5.7107054897901242E-3</v>
      </c>
      <c r="W105" s="1"/>
      <c r="X105" s="1">
        <f t="shared" si="67"/>
        <v>0</v>
      </c>
      <c r="Y105" s="1"/>
      <c r="Z105" s="5">
        <f t="shared" si="68"/>
        <v>0</v>
      </c>
    </row>
    <row r="106" spans="1:26" s="24" customFormat="1" hidden="1" outlineLevel="2" x14ac:dyDescent="0.25">
      <c r="A106" s="27"/>
      <c r="B106" s="11" t="str">
        <f>CONCATENATE("          ", "6273", " - ", "RENT")</f>
        <v xml:space="preserve">          6273 - RENT</v>
      </c>
      <c r="C106" s="11"/>
      <c r="D106" s="7">
        <v>6100</v>
      </c>
      <c r="E106" s="2"/>
      <c r="F106" s="6">
        <f t="shared" si="61"/>
        <v>1.1082370426741754E-2</v>
      </c>
      <c r="G106" s="2"/>
      <c r="H106" s="7">
        <v>6100</v>
      </c>
      <c r="I106" s="2"/>
      <c r="J106" s="6">
        <f t="shared" si="62"/>
        <v>1.594425261969298E-2</v>
      </c>
      <c r="K106" s="2"/>
      <c r="L106" s="7">
        <f t="shared" si="63"/>
        <v>0</v>
      </c>
      <c r="M106" s="2"/>
      <c r="N106" s="6">
        <f t="shared" si="64"/>
        <v>0</v>
      </c>
      <c r="O106" s="11"/>
      <c r="P106" s="7">
        <v>24400</v>
      </c>
      <c r="Q106" s="2"/>
      <c r="R106" s="6">
        <f t="shared" si="65"/>
        <v>8.5071693489812313E-3</v>
      </c>
      <c r="S106" s="2"/>
      <c r="T106" s="7">
        <v>24400</v>
      </c>
      <c r="U106" s="2"/>
      <c r="V106" s="6">
        <f t="shared" si="66"/>
        <v>5.7107054897901242E-3</v>
      </c>
      <c r="W106" s="2"/>
      <c r="X106" s="7">
        <f t="shared" si="67"/>
        <v>0</v>
      </c>
      <c r="Y106" s="2"/>
      <c r="Z106" s="6">
        <f t="shared" si="68"/>
        <v>0</v>
      </c>
    </row>
    <row r="107" spans="1:26" s="28" customFormat="1" outlineLevel="1" collapsed="1" x14ac:dyDescent="0.25">
      <c r="A107" s="29"/>
      <c r="B107" s="14" t="str">
        <f>CONCATENATE("     ","Repair and Maintenance                            ")</f>
        <v xml:space="preserve">     Repair and Maintenance                            </v>
      </c>
      <c r="C107" s="14"/>
      <c r="D107" s="1">
        <f>SUM(OSRRefD22_16x_0)</f>
        <v>12440.880000000001</v>
      </c>
      <c r="E107" s="1"/>
      <c r="F107" s="5">
        <f t="shared" si="61"/>
        <v>2.2602367310597209E-2</v>
      </c>
      <c r="G107" s="1"/>
      <c r="H107" s="1">
        <f>SUM(OSRRefH22_16x_0)</f>
        <v>9745</v>
      </c>
      <c r="I107" s="1"/>
      <c r="J107" s="5">
        <f t="shared" si="62"/>
        <v>2.5471597012935755E-2</v>
      </c>
      <c r="K107" s="1"/>
      <c r="L107" s="1">
        <f t="shared" si="63"/>
        <v>2695.880000000001</v>
      </c>
      <c r="M107" s="1"/>
      <c r="N107" s="5">
        <f t="shared" si="64"/>
        <v>0.27664238070805552</v>
      </c>
      <c r="O107" s="14"/>
      <c r="P107" s="1">
        <f>SUM(OSRRefP22_16x_0)</f>
        <v>89457.44</v>
      </c>
      <c r="Q107" s="1"/>
      <c r="R107" s="5">
        <f t="shared" si="65"/>
        <v>3.118973736091506E-2</v>
      </c>
      <c r="S107" s="1"/>
      <c r="T107" s="1">
        <f>SUM(OSRRefT22_16x_0)</f>
        <v>78800</v>
      </c>
      <c r="U107" s="1"/>
      <c r="V107" s="5">
        <f t="shared" si="66"/>
        <v>1.8442770188338599E-2</v>
      </c>
      <c r="W107" s="1"/>
      <c r="X107" s="1">
        <f t="shared" si="67"/>
        <v>10657.440000000002</v>
      </c>
      <c r="Y107" s="1"/>
      <c r="Z107" s="5">
        <f t="shared" si="68"/>
        <v>0.13524670050761425</v>
      </c>
    </row>
    <row r="108" spans="1:26" s="24" customFormat="1" hidden="1" outlineLevel="2" x14ac:dyDescent="0.25">
      <c r="A108" s="27"/>
      <c r="B108" s="11" t="str">
        <f>CONCATENATE("          ", "6371", " - ", "COMPUTER SOFTWARE MAINTENANCE")</f>
        <v xml:space="preserve">          6371 - COMPUTER SOFTWARE MAINTENANCE</v>
      </c>
      <c r="C108" s="11"/>
      <c r="D108" s="7">
        <v>2887.5</v>
      </c>
      <c r="E108" s="2"/>
      <c r="F108" s="6">
        <f t="shared" si="61"/>
        <v>5.2459581323306258E-3</v>
      </c>
      <c r="G108" s="2"/>
      <c r="H108" s="7">
        <v>1100</v>
      </c>
      <c r="I108" s="2"/>
      <c r="J108" s="6">
        <f t="shared" si="62"/>
        <v>2.875193095354472E-3</v>
      </c>
      <c r="K108" s="2"/>
      <c r="L108" s="7">
        <f t="shared" si="63"/>
        <v>1787.5</v>
      </c>
      <c r="M108" s="2"/>
      <c r="N108" s="6">
        <f t="shared" si="64"/>
        <v>1.625</v>
      </c>
      <c r="O108" s="11"/>
      <c r="P108" s="7">
        <v>62511</v>
      </c>
      <c r="Q108" s="2"/>
      <c r="R108" s="6">
        <f t="shared" si="65"/>
        <v>2.1794740294023184E-2</v>
      </c>
      <c r="S108" s="2"/>
      <c r="T108" s="7">
        <v>43100</v>
      </c>
      <c r="U108" s="2"/>
      <c r="V108" s="6">
        <f t="shared" si="66"/>
        <v>1.0087352729916163E-2</v>
      </c>
      <c r="W108" s="2"/>
      <c r="X108" s="7">
        <f t="shared" si="67"/>
        <v>19411</v>
      </c>
      <c r="Y108" s="2"/>
      <c r="Z108" s="6">
        <f t="shared" si="68"/>
        <v>0.4503712296983759</v>
      </c>
    </row>
    <row r="109" spans="1:26" s="24" customFormat="1" hidden="1" outlineLevel="2" x14ac:dyDescent="0.25">
      <c r="A109" s="27"/>
      <c r="B109" s="11" t="str">
        <f>CONCATENATE("          ", "6372", " - ", "COMPUTER HARDWARE MAINTENANCE")</f>
        <v xml:space="preserve">          6372 - COMPUTER HARDWARE MAINTENANCE</v>
      </c>
      <c r="C109" s="11"/>
      <c r="D109" s="7"/>
      <c r="E109" s="2"/>
      <c r="F109" s="6">
        <f t="shared" si="61"/>
        <v>0</v>
      </c>
      <c r="G109" s="2"/>
      <c r="H109" s="7">
        <v>3750</v>
      </c>
      <c r="I109" s="2"/>
      <c r="J109" s="6">
        <f t="shared" si="62"/>
        <v>9.8017946432538815E-3</v>
      </c>
      <c r="K109" s="2"/>
      <c r="L109" s="7">
        <f t="shared" si="63"/>
        <v>-3750</v>
      </c>
      <c r="M109" s="2"/>
      <c r="N109" s="6">
        <f t="shared" si="64"/>
        <v>-1</v>
      </c>
      <c r="O109" s="11"/>
      <c r="P109" s="7"/>
      <c r="Q109" s="2"/>
      <c r="R109" s="6">
        <f t="shared" si="65"/>
        <v>0</v>
      </c>
      <c r="S109" s="2"/>
      <c r="T109" s="7">
        <v>11620</v>
      </c>
      <c r="U109" s="2"/>
      <c r="V109" s="6">
        <f t="shared" si="66"/>
        <v>2.7196064668590673E-3</v>
      </c>
      <c r="W109" s="2"/>
      <c r="X109" s="7">
        <f t="shared" si="67"/>
        <v>-11620</v>
      </c>
      <c r="Y109" s="2"/>
      <c r="Z109" s="6">
        <f t="shared" si="68"/>
        <v>-1</v>
      </c>
    </row>
    <row r="110" spans="1:26" s="24" customFormat="1" hidden="1" outlineLevel="2" x14ac:dyDescent="0.25">
      <c r="A110" s="27"/>
      <c r="B110" s="11" t="str">
        <f>CONCATENATE("          ", "6373", " - ", "MAINTENANCE CONTRACTS")</f>
        <v xml:space="preserve">          6373 - MAINTENANCE CONTRACTS</v>
      </c>
      <c r="C110" s="11"/>
      <c r="D110" s="7">
        <v>4034.78</v>
      </c>
      <c r="E110" s="2"/>
      <c r="F110" s="6">
        <f t="shared" si="61"/>
        <v>7.3303158279359182E-3</v>
      </c>
      <c r="G110" s="2"/>
      <c r="H110" s="7">
        <v>4855</v>
      </c>
      <c r="I110" s="2"/>
      <c r="J110" s="6">
        <f t="shared" si="62"/>
        <v>1.2690056798132694E-2</v>
      </c>
      <c r="K110" s="2"/>
      <c r="L110" s="7">
        <f t="shared" si="63"/>
        <v>-820.2199999999998</v>
      </c>
      <c r="M110" s="2"/>
      <c r="N110" s="6">
        <f t="shared" si="64"/>
        <v>-0.16894335736354268</v>
      </c>
      <c r="O110" s="11"/>
      <c r="P110" s="7">
        <v>12066.73</v>
      </c>
      <c r="Q110" s="2"/>
      <c r="R110" s="6">
        <f t="shared" si="65"/>
        <v>4.2071194917390276E-3</v>
      </c>
      <c r="S110" s="2"/>
      <c r="T110" s="7">
        <v>23920</v>
      </c>
      <c r="U110" s="2"/>
      <c r="V110" s="6">
        <f t="shared" si="66"/>
        <v>5.5983637424499907E-3</v>
      </c>
      <c r="W110" s="2"/>
      <c r="X110" s="7">
        <f t="shared" si="67"/>
        <v>-11853.27</v>
      </c>
      <c r="Y110" s="2"/>
      <c r="Z110" s="6">
        <f t="shared" si="68"/>
        <v>-0.49553804347826091</v>
      </c>
    </row>
    <row r="111" spans="1:26" s="24" customFormat="1" hidden="1" outlineLevel="2" x14ac:dyDescent="0.25">
      <c r="A111" s="27"/>
      <c r="B111" s="11" t="str">
        <f>CONCATENATE("          ", "6375", " - ", "OUTSIDE REPAIRS &amp; MAINTENANCE")</f>
        <v xml:space="preserve">          6375 - OUTSIDE REPAIRS &amp; MAINTENANCE</v>
      </c>
      <c r="C111" s="11"/>
      <c r="D111" s="7">
        <v>5518.6</v>
      </c>
      <c r="E111" s="2"/>
      <c r="F111" s="6">
        <f t="shared" si="61"/>
        <v>1.0026093350330664E-2</v>
      </c>
      <c r="G111" s="2"/>
      <c r="H111" s="7">
        <v>40</v>
      </c>
      <c r="I111" s="2"/>
      <c r="J111" s="6">
        <f t="shared" si="62"/>
        <v>1.0455247619470808E-4</v>
      </c>
      <c r="K111" s="2"/>
      <c r="L111" s="7">
        <f t="shared" si="63"/>
        <v>5478.6</v>
      </c>
      <c r="M111" s="2"/>
      <c r="N111" s="6">
        <f t="shared" si="64"/>
        <v>136.965</v>
      </c>
      <c r="O111" s="11"/>
      <c r="P111" s="7">
        <v>14879.71</v>
      </c>
      <c r="Q111" s="2"/>
      <c r="R111" s="6">
        <f t="shared" si="65"/>
        <v>5.1878775751528486E-3</v>
      </c>
      <c r="S111" s="2"/>
      <c r="T111" s="7">
        <v>160</v>
      </c>
      <c r="U111" s="2"/>
      <c r="V111" s="6">
        <f t="shared" si="66"/>
        <v>3.7447249113377864E-5</v>
      </c>
      <c r="W111" s="2"/>
      <c r="X111" s="7">
        <f t="shared" si="67"/>
        <v>14719.71</v>
      </c>
      <c r="Y111" s="2"/>
      <c r="Z111" s="6">
        <f t="shared" si="68"/>
        <v>91.9981875</v>
      </c>
    </row>
    <row r="112" spans="1:26" s="28" customFormat="1" outlineLevel="1" collapsed="1" x14ac:dyDescent="0.25">
      <c r="A112" s="29"/>
      <c r="B112" s="14" t="str">
        <f>CONCATENATE("     ","Royalty &amp; Commissions                             ")</f>
        <v xml:space="preserve">     Royalty &amp; Commissions                             </v>
      </c>
      <c r="C112" s="14"/>
      <c r="D112" s="1">
        <f>SUM(OSRRefD22_17x_0)</f>
        <v>10709.72</v>
      </c>
      <c r="E112" s="1"/>
      <c r="F112" s="5">
        <f t="shared" ref="F112:F116" si="69">IF(D$12=0,0,D112/D$12)</f>
        <v>1.9457226919128639E-2</v>
      </c>
      <c r="G112" s="1"/>
      <c r="H112" s="1">
        <f>SUM(OSRRefH22_17x_0)</f>
        <v>11812</v>
      </c>
      <c r="I112" s="1"/>
      <c r="J112" s="5">
        <f t="shared" ref="J112:J116" si="70">IF(H$12=0,0,H112/H$12)</f>
        <v>3.0874346220297295E-2</v>
      </c>
      <c r="K112" s="1"/>
      <c r="L112" s="1">
        <f t="shared" ref="L112:L116" si="71">+D112-H112</f>
        <v>-1102.2800000000007</v>
      </c>
      <c r="M112" s="1"/>
      <c r="N112" s="5">
        <f t="shared" ref="N112:N116" si="72">IF(H112=0,0,L112/H112)</f>
        <v>-9.3318658990856812E-2</v>
      </c>
      <c r="O112" s="14"/>
      <c r="P112" s="1">
        <f>SUM(OSRRefP22_17x_0)</f>
        <v>19840.93</v>
      </c>
      <c r="Q112" s="1"/>
      <c r="R112" s="5">
        <f t="shared" ref="R112:R116" si="73">IF(P$12=0,0,P112/P$12)</f>
        <v>6.9176291619377937E-3</v>
      </c>
      <c r="S112" s="1"/>
      <c r="T112" s="1">
        <f>SUM(OSRRefT22_17x_0)</f>
        <v>31172</v>
      </c>
      <c r="U112" s="1"/>
      <c r="V112" s="5">
        <f t="shared" ref="V112:V116" si="74">IF(T$12=0,0,T112/T$12)</f>
        <v>7.2956603085138428E-3</v>
      </c>
      <c r="W112" s="1"/>
      <c r="X112" s="1">
        <f t="shared" ref="X112:X116" si="75">+P112-T112</f>
        <v>-11331.07</v>
      </c>
      <c r="Y112" s="1"/>
      <c r="Z112" s="5">
        <f t="shared" ref="Z112:Z116" si="76">IF(T112=0,0,X112/T112)</f>
        <v>-0.36350153984344924</v>
      </c>
    </row>
    <row r="113" spans="1:26" s="24" customFormat="1" hidden="1" outlineLevel="2" x14ac:dyDescent="0.25">
      <c r="A113" s="27"/>
      <c r="B113" s="11" t="str">
        <f>CONCATENATE("          ", "6252", " - ", "ROYALTY DUE CSTV")</f>
        <v xml:space="preserve">          6252 - ROYALTY DUE CSTV</v>
      </c>
      <c r="C113" s="11"/>
      <c r="D113" s="7"/>
      <c r="E113" s="2"/>
      <c r="F113" s="6">
        <f t="shared" si="69"/>
        <v>0</v>
      </c>
      <c r="G113" s="2"/>
      <c r="H113" s="7">
        <v>1122</v>
      </c>
      <c r="I113" s="2"/>
      <c r="J113" s="6">
        <f t="shared" si="70"/>
        <v>2.9326969572615615E-3</v>
      </c>
      <c r="K113" s="2"/>
      <c r="L113" s="7">
        <f t="shared" si="71"/>
        <v>-1122</v>
      </c>
      <c r="M113" s="2"/>
      <c r="N113" s="6">
        <f t="shared" si="72"/>
        <v>-1</v>
      </c>
      <c r="O113" s="11"/>
      <c r="P113" s="7"/>
      <c r="Q113" s="2"/>
      <c r="R113" s="6">
        <f t="shared" si="73"/>
        <v>0</v>
      </c>
      <c r="S113" s="2"/>
      <c r="T113" s="7">
        <v>5310</v>
      </c>
      <c r="U113" s="2"/>
      <c r="V113" s="6">
        <f t="shared" si="74"/>
        <v>1.242780579950228E-3</v>
      </c>
      <c r="W113" s="2"/>
      <c r="X113" s="7">
        <f t="shared" si="75"/>
        <v>-5310</v>
      </c>
      <c r="Y113" s="2"/>
      <c r="Z113" s="6">
        <f t="shared" si="76"/>
        <v>-1</v>
      </c>
    </row>
    <row r="114" spans="1:26" s="24" customFormat="1" hidden="1" outlineLevel="2" x14ac:dyDescent="0.25">
      <c r="A114" s="27"/>
      <c r="B114" s="11" t="str">
        <f>CONCATENATE("          ", "6253", " - ", "ROYALTY DUE ATHLETICS-LRG")</f>
        <v xml:space="preserve">          6253 - ROYALTY DUE ATHLETICS-LRG</v>
      </c>
      <c r="C114" s="11"/>
      <c r="D114" s="7">
        <v>8783.75</v>
      </c>
      <c r="E114" s="2"/>
      <c r="F114" s="6">
        <f t="shared" si="69"/>
        <v>1.5958159218998832E-2</v>
      </c>
      <c r="G114" s="2"/>
      <c r="H114" s="7">
        <v>10490</v>
      </c>
      <c r="I114" s="2"/>
      <c r="J114" s="6">
        <f t="shared" si="70"/>
        <v>2.7418886882062194E-2</v>
      </c>
      <c r="K114" s="2"/>
      <c r="L114" s="7">
        <f t="shared" si="71"/>
        <v>-1706.25</v>
      </c>
      <c r="M114" s="2"/>
      <c r="N114" s="6">
        <f t="shared" si="72"/>
        <v>-0.16265490943755959</v>
      </c>
      <c r="O114" s="11"/>
      <c r="P114" s="7">
        <v>23160.29</v>
      </c>
      <c r="Q114" s="2"/>
      <c r="R114" s="6">
        <f t="shared" si="73"/>
        <v>8.0749389017014967E-3</v>
      </c>
      <c r="S114" s="2"/>
      <c r="T114" s="7">
        <v>16162</v>
      </c>
      <c r="U114" s="2"/>
      <c r="V114" s="6">
        <f t="shared" si="74"/>
        <v>3.7826402510650818E-3</v>
      </c>
      <c r="W114" s="2"/>
      <c r="X114" s="7">
        <f t="shared" si="75"/>
        <v>6998.2900000000009</v>
      </c>
      <c r="Y114" s="2"/>
      <c r="Z114" s="6">
        <f t="shared" si="76"/>
        <v>0.43300890978839257</v>
      </c>
    </row>
    <row r="115" spans="1:26" s="24" customFormat="1" hidden="1" outlineLevel="2" x14ac:dyDescent="0.25">
      <c r="A115" s="27"/>
      <c r="B115" s="11" t="str">
        <f>CONCATENATE("          ", "6254", " - ", "ROYALTY &amp; COMMISSIONS")</f>
        <v xml:space="preserve">          6254 - ROYALTY &amp; COMMISSIONS</v>
      </c>
      <c r="C115" s="11"/>
      <c r="D115" s="7"/>
      <c r="E115" s="2"/>
      <c r="F115" s="6">
        <f t="shared" si="69"/>
        <v>0</v>
      </c>
      <c r="G115" s="2"/>
      <c r="H115" s="7">
        <v>0</v>
      </c>
      <c r="I115" s="2"/>
      <c r="J115" s="6">
        <f t="shared" si="70"/>
        <v>0</v>
      </c>
      <c r="K115" s="2"/>
      <c r="L115" s="7">
        <f t="shared" si="71"/>
        <v>0</v>
      </c>
      <c r="M115" s="2"/>
      <c r="N115" s="6">
        <f t="shared" si="72"/>
        <v>0</v>
      </c>
      <c r="O115" s="11"/>
      <c r="P115" s="7">
        <v>-7027.5</v>
      </c>
      <c r="Q115" s="2"/>
      <c r="R115" s="6">
        <f t="shared" si="73"/>
        <v>-2.450169368851049E-3</v>
      </c>
      <c r="S115" s="2"/>
      <c r="T115" s="7">
        <v>0</v>
      </c>
      <c r="U115" s="2"/>
      <c r="V115" s="6">
        <f t="shared" si="74"/>
        <v>0</v>
      </c>
      <c r="W115" s="2"/>
      <c r="X115" s="7">
        <f t="shared" si="75"/>
        <v>-7027.5</v>
      </c>
      <c r="Y115" s="2"/>
      <c r="Z115" s="6">
        <f t="shared" si="76"/>
        <v>0</v>
      </c>
    </row>
    <row r="116" spans="1:26" s="24" customFormat="1" hidden="1" outlineLevel="2" x14ac:dyDescent="0.25">
      <c r="A116" s="27"/>
      <c r="B116" s="11" t="str">
        <f>CONCATENATE("          ", "6259", " - ", "ROYALTY &amp; COMMISSIONS")</f>
        <v xml:space="preserve">          6259 - ROYALTY &amp; COMMISSIONS</v>
      </c>
      <c r="C116" s="11"/>
      <c r="D116" s="7">
        <v>1925.97</v>
      </c>
      <c r="E116" s="2"/>
      <c r="F116" s="6">
        <f t="shared" si="69"/>
        <v>3.4990677001298064E-3</v>
      </c>
      <c r="G116" s="2"/>
      <c r="H116" s="7">
        <v>200</v>
      </c>
      <c r="I116" s="2"/>
      <c r="J116" s="6">
        <f t="shared" si="70"/>
        <v>5.2276238097354033E-4</v>
      </c>
      <c r="K116" s="2"/>
      <c r="L116" s="7">
        <f t="shared" si="71"/>
        <v>1725.97</v>
      </c>
      <c r="M116" s="2"/>
      <c r="N116" s="6">
        <f t="shared" si="72"/>
        <v>8.6298499999999994</v>
      </c>
      <c r="O116" s="11"/>
      <c r="P116" s="7">
        <v>3708.14</v>
      </c>
      <c r="Q116" s="2"/>
      <c r="R116" s="6">
        <f t="shared" si="73"/>
        <v>1.2928596290873466E-3</v>
      </c>
      <c r="S116" s="2"/>
      <c r="T116" s="7">
        <v>9700</v>
      </c>
      <c r="U116" s="2"/>
      <c r="V116" s="6">
        <f t="shared" si="74"/>
        <v>2.2702394774985332E-3</v>
      </c>
      <c r="W116" s="2"/>
      <c r="X116" s="7">
        <f t="shared" si="75"/>
        <v>-5991.8600000000006</v>
      </c>
      <c r="Y116" s="2"/>
      <c r="Z116" s="6">
        <f t="shared" si="76"/>
        <v>-0.61771752577319594</v>
      </c>
    </row>
    <row r="117" spans="1:26" s="28" customFormat="1" outlineLevel="1" collapsed="1" x14ac:dyDescent="0.25">
      <c r="A117" s="29"/>
      <c r="B117" s="14" t="str">
        <f>CONCATENATE("     ","Services                                          ")</f>
        <v xml:space="preserve">     Services                                          </v>
      </c>
      <c r="C117" s="14"/>
      <c r="D117" s="1">
        <f>SUM(OSRRefD22_18x_0)</f>
        <v>5241.84</v>
      </c>
      <c r="E117" s="1"/>
      <c r="F117" s="5">
        <f t="shared" ref="F117:F120" si="77">IF(D$12=0,0,D117/D$12)</f>
        <v>9.5232807537232785E-3</v>
      </c>
      <c r="G117" s="1"/>
      <c r="H117" s="1">
        <f>SUM(OSRRefH22_18x_0)</f>
        <v>4360</v>
      </c>
      <c r="I117" s="1"/>
      <c r="J117" s="5">
        <f t="shared" ref="J117:J120" si="78">IF(H$12=0,0,H117/H$12)</f>
        <v>1.139621990522318E-2</v>
      </c>
      <c r="K117" s="1"/>
      <c r="L117" s="1">
        <f t="shared" ref="L117:L120" si="79">+D117-H117</f>
        <v>881.84000000000015</v>
      </c>
      <c r="M117" s="1"/>
      <c r="N117" s="5">
        <f t="shared" ref="N117:N120" si="80">IF(H117=0,0,L117/H117)</f>
        <v>0.20225688073394499</v>
      </c>
      <c r="O117" s="14"/>
      <c r="P117" s="1">
        <f>SUM(OSRRefP22_18x_0)</f>
        <v>26462.6</v>
      </c>
      <c r="Q117" s="1"/>
      <c r="R117" s="5">
        <f t="shared" ref="R117:R120" si="81">IF(P$12=0,0,P117/P$12)</f>
        <v>9.2263040825553561E-3</v>
      </c>
      <c r="S117" s="1"/>
      <c r="T117" s="1">
        <f>SUM(OSRRefT22_18x_0)</f>
        <v>17500</v>
      </c>
      <c r="U117" s="1"/>
      <c r="V117" s="5">
        <f t="shared" ref="V117:V120" si="82">IF(T$12=0,0,T117/T$12)</f>
        <v>4.0957928717757037E-3</v>
      </c>
      <c r="W117" s="1"/>
      <c r="X117" s="1">
        <f t="shared" ref="X117:X120" si="83">+P117-T117</f>
        <v>8962.5999999999985</v>
      </c>
      <c r="Y117" s="1"/>
      <c r="Z117" s="5">
        <f t="shared" ref="Z117:Z120" si="84">IF(T117=0,0,X117/T117)</f>
        <v>0.5121485714285714</v>
      </c>
    </row>
    <row r="118" spans="1:26" s="24" customFormat="1" hidden="1" outlineLevel="2" x14ac:dyDescent="0.25">
      <c r="A118" s="27"/>
      <c r="B118" s="11" t="str">
        <f>CONCATENATE("          ", "6282", " - ", "JANITORIAL/EXTERMINATOR EXPENS")</f>
        <v xml:space="preserve">          6282 - JANITORIAL/EXTERMINATOR EXPENS</v>
      </c>
      <c r="C118" s="11"/>
      <c r="D118" s="7">
        <v>753.11</v>
      </c>
      <c r="E118" s="2"/>
      <c r="F118" s="6">
        <f t="shared" si="77"/>
        <v>1.3682367200136857E-3</v>
      </c>
      <c r="G118" s="2"/>
      <c r="H118" s="7">
        <v>4300</v>
      </c>
      <c r="I118" s="2"/>
      <c r="J118" s="6">
        <f t="shared" si="78"/>
        <v>1.1239391190931118E-2</v>
      </c>
      <c r="K118" s="2"/>
      <c r="L118" s="7">
        <f t="shared" si="79"/>
        <v>-3546.89</v>
      </c>
      <c r="M118" s="2"/>
      <c r="N118" s="6">
        <f t="shared" si="80"/>
        <v>-0.82485813953488374</v>
      </c>
      <c r="O118" s="11"/>
      <c r="P118" s="7">
        <v>1728.68</v>
      </c>
      <c r="Q118" s="2"/>
      <c r="R118" s="6">
        <f t="shared" si="81"/>
        <v>6.0271202910642922E-4</v>
      </c>
      <c r="S118" s="2"/>
      <c r="T118" s="7">
        <v>17200</v>
      </c>
      <c r="U118" s="2"/>
      <c r="V118" s="6">
        <f t="shared" si="82"/>
        <v>4.0255792796881204E-3</v>
      </c>
      <c r="W118" s="2"/>
      <c r="X118" s="7">
        <f t="shared" si="83"/>
        <v>-15471.32</v>
      </c>
      <c r="Y118" s="2"/>
      <c r="Z118" s="6">
        <f t="shared" si="84"/>
        <v>-0.89949534883720927</v>
      </c>
    </row>
    <row r="119" spans="1:26" s="24" customFormat="1" hidden="1" outlineLevel="2" x14ac:dyDescent="0.25">
      <c r="A119" s="27"/>
      <c r="B119" s="11" t="str">
        <f>CONCATENATE("          ", "6284", " - ", "TRASH REMOVAL EXPENSE")</f>
        <v xml:space="preserve">          6284 - TRASH REMOVAL EXPENSE</v>
      </c>
      <c r="C119" s="11"/>
      <c r="D119" s="7">
        <v>149.69999999999999</v>
      </c>
      <c r="E119" s="2"/>
      <c r="F119" s="6">
        <f t="shared" si="77"/>
        <v>2.7197227096446565E-4</v>
      </c>
      <c r="G119" s="2"/>
      <c r="H119" s="7">
        <v>60</v>
      </c>
      <c r="I119" s="2"/>
      <c r="J119" s="6">
        <f t="shared" si="78"/>
        <v>1.5682871429206213E-4</v>
      </c>
      <c r="K119" s="2"/>
      <c r="L119" s="7">
        <f t="shared" si="79"/>
        <v>89.699999999999989</v>
      </c>
      <c r="M119" s="2"/>
      <c r="N119" s="6">
        <f t="shared" si="80"/>
        <v>1.4949999999999999</v>
      </c>
      <c r="O119" s="11"/>
      <c r="P119" s="7">
        <v>591.66999999999996</v>
      </c>
      <c r="Q119" s="2"/>
      <c r="R119" s="6">
        <f t="shared" si="81"/>
        <v>2.0628839707834937E-4</v>
      </c>
      <c r="S119" s="2"/>
      <c r="T119" s="7">
        <v>300</v>
      </c>
      <c r="U119" s="2"/>
      <c r="V119" s="6">
        <f t="shared" si="82"/>
        <v>7.0213592087583498E-5</v>
      </c>
      <c r="W119" s="2"/>
      <c r="X119" s="7">
        <f t="shared" si="83"/>
        <v>291.66999999999996</v>
      </c>
      <c r="Y119" s="2"/>
      <c r="Z119" s="6">
        <f t="shared" si="84"/>
        <v>0.97223333333333317</v>
      </c>
    </row>
    <row r="120" spans="1:26" s="24" customFormat="1" hidden="1" outlineLevel="2" x14ac:dyDescent="0.25">
      <c r="A120" s="27"/>
      <c r="B120" s="11" t="str">
        <f>CONCATENATE("          ", "6285", " - ", "JANITORIAL SERVICES")</f>
        <v xml:space="preserve">          6285 - JANITORIAL SERVICES</v>
      </c>
      <c r="C120" s="11"/>
      <c r="D120" s="7">
        <v>4339.03</v>
      </c>
      <c r="E120" s="2"/>
      <c r="F120" s="6">
        <f t="shared" si="77"/>
        <v>7.8830717627451259E-3</v>
      </c>
      <c r="G120" s="2"/>
      <c r="H120" s="7"/>
      <c r="I120" s="2"/>
      <c r="J120" s="6">
        <f t="shared" si="78"/>
        <v>0</v>
      </c>
      <c r="K120" s="2"/>
      <c r="L120" s="7">
        <f t="shared" si="79"/>
        <v>4339.03</v>
      </c>
      <c r="M120" s="2"/>
      <c r="N120" s="6">
        <f t="shared" si="80"/>
        <v>0</v>
      </c>
      <c r="O120" s="11"/>
      <c r="P120" s="7">
        <v>24142.25</v>
      </c>
      <c r="Q120" s="2"/>
      <c r="R120" s="6">
        <f t="shared" si="81"/>
        <v>8.4173036563705787E-3</v>
      </c>
      <c r="S120" s="2"/>
      <c r="T120" s="7"/>
      <c r="U120" s="2"/>
      <c r="V120" s="6">
        <f t="shared" si="82"/>
        <v>0</v>
      </c>
      <c r="W120" s="2"/>
      <c r="X120" s="7">
        <f t="shared" si="83"/>
        <v>24142.25</v>
      </c>
      <c r="Y120" s="2"/>
      <c r="Z120" s="6">
        <f t="shared" si="84"/>
        <v>0</v>
      </c>
    </row>
    <row r="121" spans="1:26" s="28" customFormat="1" outlineLevel="1" collapsed="1" x14ac:dyDescent="0.25">
      <c r="A121" s="29"/>
      <c r="B121" s="14" t="str">
        <f>CONCATENATE("     ","Subscriptions &amp; Dues                              ")</f>
        <v xml:space="preserve">     Subscriptions &amp; Dues                              </v>
      </c>
      <c r="C121" s="14"/>
      <c r="D121" s="1">
        <f>SUM(OSRRefD22_19x_0)</f>
        <v>904.08</v>
      </c>
      <c r="E121" s="1"/>
      <c r="F121" s="5">
        <f t="shared" ref="F121:F123" si="85">IF(D$12=0,0,D121/D$12)</f>
        <v>1.6425163041653584E-3</v>
      </c>
      <c r="G121" s="1"/>
      <c r="H121" s="1">
        <f>SUM(OSRRefH22_19x_0)</f>
        <v>1361</v>
      </c>
      <c r="I121" s="1"/>
      <c r="J121" s="5">
        <f t="shared" ref="J121:J123" si="86">IF(H$12=0,0,H121/H$12)</f>
        <v>3.5573980025249423E-3</v>
      </c>
      <c r="K121" s="1"/>
      <c r="L121" s="1">
        <f t="shared" ref="L121:L123" si="87">+D121-H121</f>
        <v>-456.91999999999996</v>
      </c>
      <c r="M121" s="1"/>
      <c r="N121" s="5">
        <f t="shared" ref="N121:N123" si="88">IF(H121=0,0,L121/H121)</f>
        <v>-0.33572373254959587</v>
      </c>
      <c r="O121" s="14"/>
      <c r="P121" s="1">
        <f>SUM(OSRRefP22_19x_0)</f>
        <v>956.84</v>
      </c>
      <c r="Q121" s="1"/>
      <c r="R121" s="5">
        <f t="shared" ref="R121:R123" si="89">IF(P$12=0,0,P121/P$12)</f>
        <v>3.336065540934099E-4</v>
      </c>
      <c r="S121" s="1"/>
      <c r="T121" s="1">
        <f>SUM(OSRRefT22_19x_0)</f>
        <v>4879</v>
      </c>
      <c r="U121" s="1"/>
      <c r="V121" s="5">
        <f t="shared" ref="V121:V123" si="90">IF(T$12=0,0,T121/T$12)</f>
        <v>1.1419070526510664E-3</v>
      </c>
      <c r="W121" s="1"/>
      <c r="X121" s="1">
        <f t="shared" ref="X121:X123" si="91">+P121-T121</f>
        <v>-3922.16</v>
      </c>
      <c r="Y121" s="1"/>
      <c r="Z121" s="5">
        <f t="shared" ref="Z121:Z123" si="92">IF(T121=0,0,X121/T121)</f>
        <v>-0.80388604222176674</v>
      </c>
    </row>
    <row r="122" spans="1:26" s="24" customFormat="1" hidden="1" outlineLevel="2" x14ac:dyDescent="0.25">
      <c r="A122" s="27"/>
      <c r="B122" s="11" t="str">
        <f>CONCATENATE("          ", "6258", " - ", "MEMBERSHIP DUES")</f>
        <v xml:space="preserve">          6258 - MEMBERSHIP DUES</v>
      </c>
      <c r="C122" s="11"/>
      <c r="D122" s="7">
        <v>904.08</v>
      </c>
      <c r="E122" s="2"/>
      <c r="F122" s="6">
        <f t="shared" si="85"/>
        <v>1.6425163041653584E-3</v>
      </c>
      <c r="G122" s="2"/>
      <c r="H122" s="7">
        <v>1300</v>
      </c>
      <c r="I122" s="2"/>
      <c r="J122" s="6">
        <f t="shared" si="86"/>
        <v>3.3979554763280124E-3</v>
      </c>
      <c r="K122" s="2"/>
      <c r="L122" s="7">
        <f t="shared" si="87"/>
        <v>-395.91999999999996</v>
      </c>
      <c r="M122" s="2"/>
      <c r="N122" s="6">
        <f t="shared" si="88"/>
        <v>-0.30455384615384612</v>
      </c>
      <c r="O122" s="11"/>
      <c r="P122" s="7">
        <v>956.84</v>
      </c>
      <c r="Q122" s="2"/>
      <c r="R122" s="6">
        <f t="shared" si="89"/>
        <v>3.336065540934099E-4</v>
      </c>
      <c r="S122" s="2"/>
      <c r="T122" s="7">
        <v>4595</v>
      </c>
      <c r="U122" s="2"/>
      <c r="V122" s="6">
        <f t="shared" si="90"/>
        <v>1.0754381854748206E-3</v>
      </c>
      <c r="W122" s="2"/>
      <c r="X122" s="7">
        <f t="shared" si="91"/>
        <v>-3638.16</v>
      </c>
      <c r="Y122" s="2"/>
      <c r="Z122" s="6">
        <f t="shared" si="92"/>
        <v>-0.79176496191512513</v>
      </c>
    </row>
    <row r="123" spans="1:26" s="24" customFormat="1" hidden="1" outlineLevel="2" x14ac:dyDescent="0.25">
      <c r="A123" s="27"/>
      <c r="B123" s="11" t="str">
        <f>CONCATENATE("          ", "6275", " - ", "SUBSCRIPTIONS")</f>
        <v xml:space="preserve">          6275 - SUBSCRIPTIONS</v>
      </c>
      <c r="C123" s="11"/>
      <c r="D123" s="7"/>
      <c r="E123" s="2"/>
      <c r="F123" s="6">
        <f t="shared" si="85"/>
        <v>0</v>
      </c>
      <c r="G123" s="2"/>
      <c r="H123" s="7">
        <v>61</v>
      </c>
      <c r="I123" s="2"/>
      <c r="J123" s="6">
        <f t="shared" si="86"/>
        <v>1.5944252619692982E-4</v>
      </c>
      <c r="K123" s="2"/>
      <c r="L123" s="7">
        <f t="shared" si="87"/>
        <v>-61</v>
      </c>
      <c r="M123" s="2"/>
      <c r="N123" s="6">
        <f t="shared" si="88"/>
        <v>-1</v>
      </c>
      <c r="O123" s="11"/>
      <c r="P123" s="7"/>
      <c r="Q123" s="2"/>
      <c r="R123" s="6">
        <f t="shared" si="89"/>
        <v>0</v>
      </c>
      <c r="S123" s="2"/>
      <c r="T123" s="7">
        <v>284</v>
      </c>
      <c r="U123" s="2"/>
      <c r="V123" s="6">
        <f t="shared" si="90"/>
        <v>6.6468867176245716E-5</v>
      </c>
      <c r="W123" s="2"/>
      <c r="X123" s="7">
        <f t="shared" si="91"/>
        <v>-284</v>
      </c>
      <c r="Y123" s="2"/>
      <c r="Z123" s="6">
        <f t="shared" si="92"/>
        <v>-1</v>
      </c>
    </row>
    <row r="124" spans="1:26" s="28" customFormat="1" outlineLevel="1" collapsed="1" x14ac:dyDescent="0.25">
      <c r="A124" s="29"/>
      <c r="B124" s="14" t="str">
        <f>CONCATENATE("     ","Supplies                                          ")</f>
        <v xml:space="preserve">     Supplies                                          </v>
      </c>
      <c r="C124" s="14"/>
      <c r="D124" s="1">
        <f>SUM(OSRRefD22_20x_0)</f>
        <v>12244.96</v>
      </c>
      <c r="E124" s="1"/>
      <c r="F124" s="5">
        <f t="shared" ref="F124:F131" si="93">IF(D$12=0,0,D124/D$12)</f>
        <v>2.2246423373874707E-2</v>
      </c>
      <c r="G124" s="1"/>
      <c r="H124" s="1">
        <f>SUM(OSRRefH22_20x_0)</f>
        <v>10330</v>
      </c>
      <c r="I124" s="1"/>
      <c r="J124" s="5">
        <f t="shared" ref="J124:J131" si="94">IF(H$12=0,0,H124/H$12)</f>
        <v>2.700067697728336E-2</v>
      </c>
      <c r="K124" s="1"/>
      <c r="L124" s="1">
        <f t="shared" ref="L124:L131" si="95">+D124-H124</f>
        <v>1914.9599999999991</v>
      </c>
      <c r="M124" s="1"/>
      <c r="N124" s="5">
        <f t="shared" ref="N124:N131" si="96">IF(H124=0,0,L124/H124)</f>
        <v>0.18537850919651491</v>
      </c>
      <c r="O124" s="14"/>
      <c r="P124" s="1">
        <f>SUM(OSRRefP22_20x_0)</f>
        <v>39831.49</v>
      </c>
      <c r="Q124" s="1"/>
      <c r="R124" s="5">
        <f t="shared" ref="R124:R131" si="97">IF(P$12=0,0,P124/P$12)</f>
        <v>1.388742749394477E-2</v>
      </c>
      <c r="S124" s="1"/>
      <c r="T124" s="1">
        <f>SUM(OSRRefT22_20x_0)</f>
        <v>43770</v>
      </c>
      <c r="U124" s="1"/>
      <c r="V124" s="5">
        <f t="shared" ref="V124:V131" si="98">IF(T$12=0,0,T124/T$12)</f>
        <v>1.0244163085578432E-2</v>
      </c>
      <c r="W124" s="1"/>
      <c r="X124" s="1">
        <f t="shared" ref="X124:X131" si="99">+P124-T124</f>
        <v>-3938.510000000002</v>
      </c>
      <c r="Y124" s="1"/>
      <c r="Z124" s="5">
        <f t="shared" ref="Z124:Z131" si="100">IF(T124=0,0,X124/T124)</f>
        <v>-8.9981951108064936E-2</v>
      </c>
    </row>
    <row r="125" spans="1:26" s="24" customFormat="1" hidden="1" outlineLevel="2" x14ac:dyDescent="0.25">
      <c r="A125" s="27"/>
      <c r="B125" s="11" t="str">
        <f>CONCATENATE("          ", "6234", " - ", "EXPENDABLE SUPPLIES &amp; EQUIPMEN")</f>
        <v xml:space="preserve">          6234 - EXPENDABLE SUPPLIES &amp; EQUIPMEN</v>
      </c>
      <c r="C125" s="11"/>
      <c r="D125" s="7">
        <v>2542.41</v>
      </c>
      <c r="E125" s="2"/>
      <c r="F125" s="6">
        <f t="shared" si="93"/>
        <v>4.6190048191233615E-3</v>
      </c>
      <c r="G125" s="2"/>
      <c r="H125" s="7">
        <v>300</v>
      </c>
      <c r="I125" s="2"/>
      <c r="J125" s="6">
        <f t="shared" si="94"/>
        <v>7.8414357146031055E-4</v>
      </c>
      <c r="K125" s="2"/>
      <c r="L125" s="7">
        <f t="shared" si="95"/>
        <v>2242.41</v>
      </c>
      <c r="M125" s="2"/>
      <c r="N125" s="6">
        <f t="shared" si="96"/>
        <v>7.4746999999999995</v>
      </c>
      <c r="O125" s="11"/>
      <c r="P125" s="7">
        <v>2542.41</v>
      </c>
      <c r="Q125" s="2"/>
      <c r="R125" s="6">
        <f t="shared" si="97"/>
        <v>8.8642264035013803E-4</v>
      </c>
      <c r="S125" s="2"/>
      <c r="T125" s="7">
        <v>600</v>
      </c>
      <c r="U125" s="2"/>
      <c r="V125" s="6">
        <f t="shared" si="98"/>
        <v>1.40427184175167E-4</v>
      </c>
      <c r="W125" s="2"/>
      <c r="X125" s="7">
        <f t="shared" si="99"/>
        <v>1942.4099999999999</v>
      </c>
      <c r="Y125" s="2"/>
      <c r="Z125" s="6">
        <f t="shared" si="100"/>
        <v>3.2373499999999997</v>
      </c>
    </row>
    <row r="126" spans="1:26" s="24" customFormat="1" hidden="1" outlineLevel="2" x14ac:dyDescent="0.25">
      <c r="A126" s="27"/>
      <c r="B126" s="11" t="str">
        <f>CONCATENATE("          ", "6235", " - ", "COVID-19 EXPENSES")</f>
        <v xml:space="preserve">          6235 - COVID-19 EXPENSES</v>
      </c>
      <c r="C126" s="11"/>
      <c r="D126" s="7"/>
      <c r="E126" s="2"/>
      <c r="F126" s="6">
        <f t="shared" si="93"/>
        <v>0</v>
      </c>
      <c r="G126" s="2"/>
      <c r="H126" s="7">
        <v>125</v>
      </c>
      <c r="I126" s="2"/>
      <c r="J126" s="6">
        <f t="shared" si="94"/>
        <v>3.2672648810846272E-4</v>
      </c>
      <c r="K126" s="2"/>
      <c r="L126" s="7">
        <f t="shared" si="95"/>
        <v>-125</v>
      </c>
      <c r="M126" s="2"/>
      <c r="N126" s="6">
        <f t="shared" si="96"/>
        <v>-1</v>
      </c>
      <c r="O126" s="11"/>
      <c r="P126" s="7">
        <v>3430.32</v>
      </c>
      <c r="Q126" s="2"/>
      <c r="R126" s="6">
        <f t="shared" si="97"/>
        <v>1.195996441032676E-3</v>
      </c>
      <c r="S126" s="2"/>
      <c r="T126" s="7">
        <v>500</v>
      </c>
      <c r="U126" s="2"/>
      <c r="V126" s="6">
        <f t="shared" si="98"/>
        <v>1.1702265347930583E-4</v>
      </c>
      <c r="W126" s="2"/>
      <c r="X126" s="7">
        <f t="shared" si="99"/>
        <v>2930.32</v>
      </c>
      <c r="Y126" s="2"/>
      <c r="Z126" s="6">
        <f t="shared" si="100"/>
        <v>5.8606400000000001</v>
      </c>
    </row>
    <row r="127" spans="1:26" s="24" customFormat="1" hidden="1" outlineLevel="2" x14ac:dyDescent="0.25">
      <c r="A127" s="27"/>
      <c r="B127" s="11" t="str">
        <f>CONCATENATE("          ", "6237", " - ", "JANITORIAL SUPPLIES")</f>
        <v xml:space="preserve">          6237 - JANITORIAL SUPPLIES</v>
      </c>
      <c r="C127" s="11"/>
      <c r="D127" s="7">
        <v>1303.78</v>
      </c>
      <c r="E127" s="2"/>
      <c r="F127" s="6">
        <f t="shared" si="93"/>
        <v>2.3686840844225187E-3</v>
      </c>
      <c r="G127" s="2"/>
      <c r="H127" s="7">
        <v>10</v>
      </c>
      <c r="I127" s="2"/>
      <c r="J127" s="6">
        <f t="shared" si="94"/>
        <v>2.613811904867702E-5</v>
      </c>
      <c r="K127" s="2"/>
      <c r="L127" s="7">
        <f t="shared" si="95"/>
        <v>1293.78</v>
      </c>
      <c r="M127" s="2"/>
      <c r="N127" s="6">
        <f t="shared" si="96"/>
        <v>129.37799999999999</v>
      </c>
      <c r="O127" s="11"/>
      <c r="P127" s="7">
        <v>3376.47</v>
      </c>
      <c r="Q127" s="2"/>
      <c r="R127" s="6">
        <f t="shared" si="97"/>
        <v>1.1772213972030595E-3</v>
      </c>
      <c r="S127" s="2"/>
      <c r="T127" s="7">
        <v>80</v>
      </c>
      <c r="U127" s="2"/>
      <c r="V127" s="6">
        <f t="shared" si="98"/>
        <v>1.8723624556688932E-5</v>
      </c>
      <c r="W127" s="2"/>
      <c r="X127" s="7">
        <f t="shared" si="99"/>
        <v>3296.47</v>
      </c>
      <c r="Y127" s="2"/>
      <c r="Z127" s="6">
        <f t="shared" si="100"/>
        <v>41.205874999999999</v>
      </c>
    </row>
    <row r="128" spans="1:26" s="24" customFormat="1" hidden="1" outlineLevel="2" x14ac:dyDescent="0.25">
      <c r="A128" s="27"/>
      <c r="B128" s="11" t="str">
        <f>CONCATENATE("          ", "6241", " - ", "OFFICE EXPENSE")</f>
        <v xml:space="preserve">          6241 - OFFICE EXPENSE</v>
      </c>
      <c r="C128" s="11"/>
      <c r="D128" s="7">
        <v>990.07</v>
      </c>
      <c r="E128" s="2"/>
      <c r="F128" s="6">
        <f t="shared" si="93"/>
        <v>1.7987413915416736E-3</v>
      </c>
      <c r="G128" s="2"/>
      <c r="H128" s="7">
        <v>470</v>
      </c>
      <c r="I128" s="2"/>
      <c r="J128" s="6">
        <f t="shared" si="94"/>
        <v>1.2284915952878199E-3</v>
      </c>
      <c r="K128" s="2"/>
      <c r="L128" s="7">
        <f t="shared" si="95"/>
        <v>520.07000000000005</v>
      </c>
      <c r="M128" s="2"/>
      <c r="N128" s="6">
        <f t="shared" si="96"/>
        <v>1.106531914893617</v>
      </c>
      <c r="O128" s="11"/>
      <c r="P128" s="7">
        <v>7029.22</v>
      </c>
      <c r="Q128" s="2"/>
      <c r="R128" s="6">
        <f t="shared" si="97"/>
        <v>2.4507690545592562E-3</v>
      </c>
      <c r="S128" s="2"/>
      <c r="T128" s="7">
        <v>2180</v>
      </c>
      <c r="U128" s="2"/>
      <c r="V128" s="6">
        <f t="shared" si="98"/>
        <v>5.1021876916977345E-4</v>
      </c>
      <c r="W128" s="2"/>
      <c r="X128" s="7">
        <f t="shared" si="99"/>
        <v>4849.22</v>
      </c>
      <c r="Y128" s="2"/>
      <c r="Z128" s="6">
        <f t="shared" si="100"/>
        <v>2.2244128440366975</v>
      </c>
    </row>
    <row r="129" spans="1:26" s="24" customFormat="1" hidden="1" outlineLevel="2" x14ac:dyDescent="0.25">
      <c r="A129" s="27"/>
      <c r="B129" s="11" t="str">
        <f>CONCATENATE("          ", "6243", " - ", "PAPER SUPPLIES")</f>
        <v xml:space="preserve">          6243 - PAPER SUPPLIES</v>
      </c>
      <c r="C129" s="11"/>
      <c r="D129" s="7">
        <v>735.87</v>
      </c>
      <c r="E129" s="2"/>
      <c r="F129" s="6">
        <f t="shared" si="93"/>
        <v>1.3369153976928614E-3</v>
      </c>
      <c r="G129" s="2"/>
      <c r="H129" s="7">
        <v>3500</v>
      </c>
      <c r="I129" s="2"/>
      <c r="J129" s="6">
        <f t="shared" si="94"/>
        <v>9.148341667036956E-3</v>
      </c>
      <c r="K129" s="2"/>
      <c r="L129" s="7">
        <f t="shared" si="95"/>
        <v>-2764.13</v>
      </c>
      <c r="M129" s="2"/>
      <c r="N129" s="6">
        <f t="shared" si="96"/>
        <v>-0.78975142857142855</v>
      </c>
      <c r="O129" s="11"/>
      <c r="P129" s="7">
        <v>4186.79</v>
      </c>
      <c r="Q129" s="2"/>
      <c r="R129" s="6">
        <f t="shared" si="97"/>
        <v>1.4597430966648002E-3</v>
      </c>
      <c r="S129" s="2"/>
      <c r="T129" s="7">
        <v>16100</v>
      </c>
      <c r="U129" s="2"/>
      <c r="V129" s="6">
        <f t="shared" si="98"/>
        <v>3.7681294420336478E-3</v>
      </c>
      <c r="W129" s="2"/>
      <c r="X129" s="7">
        <f t="shared" si="99"/>
        <v>-11913.21</v>
      </c>
      <c r="Y129" s="2"/>
      <c r="Z129" s="6">
        <f t="shared" si="100"/>
        <v>-0.73995093167701853</v>
      </c>
    </row>
    <row r="130" spans="1:26" s="24" customFormat="1" hidden="1" outlineLevel="2" x14ac:dyDescent="0.25">
      <c r="A130" s="27"/>
      <c r="B130" s="11" t="str">
        <f>CONCATENATE("          ", "6245", " - ", "PRINTING")</f>
        <v xml:space="preserve">          6245 - PRINTING</v>
      </c>
      <c r="C130" s="11"/>
      <c r="D130" s="7">
        <v>296.68</v>
      </c>
      <c r="E130" s="2"/>
      <c r="F130" s="6">
        <f t="shared" si="93"/>
        <v>5.3900289478782685E-4</v>
      </c>
      <c r="G130" s="2"/>
      <c r="H130" s="7">
        <v>250</v>
      </c>
      <c r="I130" s="2"/>
      <c r="J130" s="6">
        <f t="shared" si="94"/>
        <v>6.5345297621692544E-4</v>
      </c>
      <c r="K130" s="2"/>
      <c r="L130" s="7">
        <f t="shared" si="95"/>
        <v>46.680000000000007</v>
      </c>
      <c r="M130" s="2"/>
      <c r="N130" s="6">
        <f t="shared" si="96"/>
        <v>0.18672000000000002</v>
      </c>
      <c r="O130" s="11"/>
      <c r="P130" s="7">
        <v>-27.07</v>
      </c>
      <c r="Q130" s="2"/>
      <c r="R130" s="6">
        <f t="shared" si="97"/>
        <v>-9.4380768146279465E-6</v>
      </c>
      <c r="S130" s="2"/>
      <c r="T130" s="7">
        <v>1905</v>
      </c>
      <c r="U130" s="2"/>
      <c r="V130" s="6">
        <f t="shared" si="98"/>
        <v>4.458563097561552E-4</v>
      </c>
      <c r="W130" s="2"/>
      <c r="X130" s="7">
        <f t="shared" si="99"/>
        <v>-1932.07</v>
      </c>
      <c r="Y130" s="2"/>
      <c r="Z130" s="6">
        <f t="shared" si="100"/>
        <v>-1.0142099737532808</v>
      </c>
    </row>
    <row r="131" spans="1:26" s="24" customFormat="1" hidden="1" outlineLevel="2" x14ac:dyDescent="0.25">
      <c r="A131" s="27"/>
      <c r="B131" s="11" t="str">
        <f>CONCATENATE("          ", "6247", " - ", "STORE SUPPLIES")</f>
        <v xml:space="preserve">          6247 - STORE SUPPLIES</v>
      </c>
      <c r="C131" s="11"/>
      <c r="D131" s="7">
        <v>6376.15</v>
      </c>
      <c r="E131" s="2"/>
      <c r="F131" s="6">
        <f t="shared" si="93"/>
        <v>1.1584074786306464E-2</v>
      </c>
      <c r="G131" s="2"/>
      <c r="H131" s="7">
        <v>5675</v>
      </c>
      <c r="I131" s="2"/>
      <c r="J131" s="6">
        <f t="shared" si="94"/>
        <v>1.4833382560124208E-2</v>
      </c>
      <c r="K131" s="2"/>
      <c r="L131" s="7">
        <f t="shared" si="95"/>
        <v>701.14999999999964</v>
      </c>
      <c r="M131" s="2"/>
      <c r="N131" s="6">
        <f t="shared" si="96"/>
        <v>0.12355066079295147</v>
      </c>
      <c r="O131" s="11"/>
      <c r="P131" s="7">
        <v>19293.349999999999</v>
      </c>
      <c r="Q131" s="2"/>
      <c r="R131" s="6">
        <f t="shared" si="97"/>
        <v>6.7267129409494678E-3</v>
      </c>
      <c r="S131" s="2"/>
      <c r="T131" s="7">
        <v>22405</v>
      </c>
      <c r="U131" s="2"/>
      <c r="V131" s="6">
        <f t="shared" si="98"/>
        <v>5.2437851024076942E-3</v>
      </c>
      <c r="W131" s="2"/>
      <c r="X131" s="7">
        <f t="shared" si="99"/>
        <v>-3111.6500000000015</v>
      </c>
      <c r="Y131" s="2"/>
      <c r="Z131" s="6">
        <f t="shared" si="100"/>
        <v>-0.13888194599419779</v>
      </c>
    </row>
    <row r="132" spans="1:26" s="28" customFormat="1" outlineLevel="1" collapsed="1" x14ac:dyDescent="0.25">
      <c r="A132" s="29"/>
      <c r="B132" s="14" t="str">
        <f>CONCATENATE("     ","Telephone/Data Lines                              ")</f>
        <v xml:space="preserve">     Telephone/Data Lines                              </v>
      </c>
      <c r="C132" s="14"/>
      <c r="D132" s="1">
        <f>SUM(OSRRefD22_21x_0)</f>
        <v>2403.89</v>
      </c>
      <c r="E132" s="1"/>
      <c r="F132" s="5">
        <f t="shared" ref="F132:F134" si="101">IF(D$12=0,0,D132/D$12)</f>
        <v>4.3673441713344644E-3</v>
      </c>
      <c r="G132" s="1"/>
      <c r="H132" s="1">
        <f>SUM(OSRRefH22_21x_0)</f>
        <v>1735</v>
      </c>
      <c r="I132" s="1"/>
      <c r="J132" s="5">
        <f t="shared" ref="J132:J134" si="102">IF(H$12=0,0,H132/H$12)</f>
        <v>4.5349636549454628E-3</v>
      </c>
      <c r="K132" s="1"/>
      <c r="L132" s="1">
        <f t="shared" ref="L132:L134" si="103">+D132-H132</f>
        <v>668.88999999999987</v>
      </c>
      <c r="M132" s="1"/>
      <c r="N132" s="5">
        <f t="shared" ref="N132:N134" si="104">IF(H132=0,0,L132/H132)</f>
        <v>0.38552737752161376</v>
      </c>
      <c r="O132" s="14"/>
      <c r="P132" s="1">
        <f>SUM(OSRRefP22_21x_0)</f>
        <v>7621.71</v>
      </c>
      <c r="Q132" s="1"/>
      <c r="R132" s="5">
        <f t="shared" ref="R132:R134" si="105">IF(P$12=0,0,P132/P$12)</f>
        <v>2.6573433483124483E-3</v>
      </c>
      <c r="S132" s="1"/>
      <c r="T132" s="1">
        <f>SUM(OSRRefT22_21x_0)</f>
        <v>7290</v>
      </c>
      <c r="U132" s="1"/>
      <c r="V132" s="5">
        <f t="shared" ref="V132:V134" si="106">IF(T$12=0,0,T132/T$12)</f>
        <v>1.7061902877282789E-3</v>
      </c>
      <c r="W132" s="1"/>
      <c r="X132" s="1">
        <f t="shared" ref="X132:X134" si="107">+P132-T132</f>
        <v>331.71000000000004</v>
      </c>
      <c r="Y132" s="1"/>
      <c r="Z132" s="5">
        <f t="shared" ref="Z132:Z134" si="108">IF(T132=0,0,X132/T132)</f>
        <v>4.550205761316873E-2</v>
      </c>
    </row>
    <row r="133" spans="1:26" s="24" customFormat="1" hidden="1" outlineLevel="2" x14ac:dyDescent="0.25">
      <c r="A133" s="27"/>
      <c r="B133" s="11" t="str">
        <f>CONCATENATE("          ", "6303", " - ", "DATA PHONE LINES")</f>
        <v xml:space="preserve">          6303 - DATA PHONE LINES</v>
      </c>
      <c r="C133" s="11"/>
      <c r="D133" s="7"/>
      <c r="E133" s="2"/>
      <c r="F133" s="6">
        <f t="shared" si="101"/>
        <v>0</v>
      </c>
      <c r="G133" s="2"/>
      <c r="H133" s="7">
        <v>0</v>
      </c>
      <c r="I133" s="2"/>
      <c r="J133" s="6">
        <f t="shared" si="102"/>
        <v>0</v>
      </c>
      <c r="K133" s="2"/>
      <c r="L133" s="7">
        <f t="shared" si="103"/>
        <v>0</v>
      </c>
      <c r="M133" s="2"/>
      <c r="N133" s="6">
        <f t="shared" si="104"/>
        <v>0</v>
      </c>
      <c r="O133" s="11"/>
      <c r="P133" s="7">
        <v>295</v>
      </c>
      <c r="Q133" s="2"/>
      <c r="R133" s="6">
        <f t="shared" si="105"/>
        <v>1.0285307204710914E-4</v>
      </c>
      <c r="S133" s="2"/>
      <c r="T133" s="7">
        <v>0</v>
      </c>
      <c r="U133" s="2"/>
      <c r="V133" s="6">
        <f t="shared" si="106"/>
        <v>0</v>
      </c>
      <c r="W133" s="2"/>
      <c r="X133" s="7">
        <f t="shared" si="107"/>
        <v>295</v>
      </c>
      <c r="Y133" s="2"/>
      <c r="Z133" s="6">
        <f t="shared" si="108"/>
        <v>0</v>
      </c>
    </row>
    <row r="134" spans="1:26" s="24" customFormat="1" hidden="1" outlineLevel="2" x14ac:dyDescent="0.25">
      <c r="A134" s="27"/>
      <c r="B134" s="11" t="str">
        <f>CONCATENATE("          ", "6309", " - ", "TELEPHONE")</f>
        <v xml:space="preserve">          6309 - TELEPHONE</v>
      </c>
      <c r="C134" s="11"/>
      <c r="D134" s="7">
        <v>2403.89</v>
      </c>
      <c r="E134" s="2"/>
      <c r="F134" s="6">
        <f t="shared" si="101"/>
        <v>4.3673441713344644E-3</v>
      </c>
      <c r="G134" s="2"/>
      <c r="H134" s="7">
        <v>1735</v>
      </c>
      <c r="I134" s="2"/>
      <c r="J134" s="6">
        <f t="shared" si="102"/>
        <v>4.5349636549454628E-3</v>
      </c>
      <c r="K134" s="2"/>
      <c r="L134" s="7">
        <f t="shared" si="103"/>
        <v>668.88999999999987</v>
      </c>
      <c r="M134" s="2"/>
      <c r="N134" s="6">
        <f t="shared" si="104"/>
        <v>0.38552737752161376</v>
      </c>
      <c r="O134" s="11"/>
      <c r="P134" s="7">
        <v>7326.71</v>
      </c>
      <c r="Q134" s="2"/>
      <c r="R134" s="6">
        <f t="shared" si="105"/>
        <v>2.5544902762653391E-3</v>
      </c>
      <c r="S134" s="2"/>
      <c r="T134" s="7">
        <v>7290</v>
      </c>
      <c r="U134" s="2"/>
      <c r="V134" s="6">
        <f t="shared" si="106"/>
        <v>1.7061902877282789E-3</v>
      </c>
      <c r="W134" s="2"/>
      <c r="X134" s="7">
        <f t="shared" si="107"/>
        <v>36.710000000000036</v>
      </c>
      <c r="Y134" s="2"/>
      <c r="Z134" s="6">
        <f t="shared" si="108"/>
        <v>5.0356652949245595E-3</v>
      </c>
    </row>
    <row r="135" spans="1:26" s="28" customFormat="1" outlineLevel="1" collapsed="1" x14ac:dyDescent="0.25">
      <c r="A135" s="29"/>
      <c r="B135" s="14" t="str">
        <f>CONCATENATE("     ","Training                                          ")</f>
        <v xml:space="preserve">     Training                                          </v>
      </c>
      <c r="C135" s="14"/>
      <c r="D135" s="1">
        <f>SUM(OSRRefD22_22x_0)</f>
        <v>0</v>
      </c>
      <c r="E135" s="1"/>
      <c r="F135" s="5">
        <f t="shared" ref="F135:F140" si="109">IF(D$12=0,0,D135/D$12)</f>
        <v>0</v>
      </c>
      <c r="G135" s="1"/>
      <c r="H135" s="1">
        <f>SUM(OSRRefH22_22x_0)</f>
        <v>0</v>
      </c>
      <c r="I135" s="1"/>
      <c r="J135" s="5">
        <f t="shared" ref="J135:J140" si="110">IF(H$12=0,0,H135/H$12)</f>
        <v>0</v>
      </c>
      <c r="K135" s="1"/>
      <c r="L135" s="1">
        <f t="shared" ref="L135:L140" si="111">+D135-H135</f>
        <v>0</v>
      </c>
      <c r="M135" s="1"/>
      <c r="N135" s="5">
        <f t="shared" ref="N135:N140" si="112">IF(H135=0,0,L135/H135)</f>
        <v>0</v>
      </c>
      <c r="O135" s="14"/>
      <c r="P135" s="1">
        <f>SUM(OSRRefP22_22x_0)</f>
        <v>595</v>
      </c>
      <c r="Q135" s="1"/>
      <c r="R135" s="5">
        <f t="shared" ref="R135:R140" si="113">IF(P$12=0,0,P135/P$12)</f>
        <v>2.0744941650179639E-4</v>
      </c>
      <c r="S135" s="1"/>
      <c r="T135" s="1">
        <f>SUM(OSRRefT22_22x_0)</f>
        <v>0</v>
      </c>
      <c r="U135" s="1"/>
      <c r="V135" s="5">
        <f t="shared" ref="V135:V140" si="114">IF(T$12=0,0,T135/T$12)</f>
        <v>0</v>
      </c>
      <c r="W135" s="1"/>
      <c r="X135" s="1">
        <f t="shared" ref="X135:X140" si="115">+P135-T135</f>
        <v>595</v>
      </c>
      <c r="Y135" s="1"/>
      <c r="Z135" s="5">
        <f t="shared" ref="Z135:Z140" si="116">IF(T135=0,0,X135/T135)</f>
        <v>0</v>
      </c>
    </row>
    <row r="136" spans="1:26" s="24" customFormat="1" hidden="1" outlineLevel="2" x14ac:dyDescent="0.25">
      <c r="A136" s="27"/>
      <c r="B136" s="11" t="str">
        <f>CONCATENATE("          ", "6376", " - ", "TRAINING")</f>
        <v xml:space="preserve">          6376 - TRAINING</v>
      </c>
      <c r="C136" s="11"/>
      <c r="D136" s="7"/>
      <c r="E136" s="2"/>
      <c r="F136" s="6">
        <f t="shared" si="109"/>
        <v>0</v>
      </c>
      <c r="G136" s="2"/>
      <c r="H136" s="7"/>
      <c r="I136" s="2"/>
      <c r="J136" s="6">
        <f t="shared" si="110"/>
        <v>0</v>
      </c>
      <c r="K136" s="2"/>
      <c r="L136" s="7">
        <f t="shared" si="111"/>
        <v>0</v>
      </c>
      <c r="M136" s="2"/>
      <c r="N136" s="6">
        <f t="shared" si="112"/>
        <v>0</v>
      </c>
      <c r="O136" s="11"/>
      <c r="P136" s="7">
        <v>595</v>
      </c>
      <c r="Q136" s="2"/>
      <c r="R136" s="6">
        <f t="shared" si="113"/>
        <v>2.0744941650179639E-4</v>
      </c>
      <c r="S136" s="2"/>
      <c r="T136" s="7"/>
      <c r="U136" s="2"/>
      <c r="V136" s="6">
        <f t="shared" si="114"/>
        <v>0</v>
      </c>
      <c r="W136" s="2"/>
      <c r="X136" s="7">
        <f t="shared" si="115"/>
        <v>595</v>
      </c>
      <c r="Y136" s="2"/>
      <c r="Z136" s="6">
        <f t="shared" si="116"/>
        <v>0</v>
      </c>
    </row>
    <row r="137" spans="1:26" s="28" customFormat="1" outlineLevel="1" collapsed="1" x14ac:dyDescent="0.25">
      <c r="A137" s="29"/>
      <c r="B137" s="14" t="str">
        <f>CONCATENATE("     ","Travel                                            ")</f>
        <v xml:space="preserve">     Travel                                            </v>
      </c>
      <c r="C137" s="14"/>
      <c r="D137" s="1">
        <f>SUM(OSRRefD22_23x_0)</f>
        <v>50</v>
      </c>
      <c r="E137" s="1"/>
      <c r="F137" s="5">
        <f t="shared" si="109"/>
        <v>9.0839101858538967E-5</v>
      </c>
      <c r="G137" s="1"/>
      <c r="H137" s="1">
        <f>SUM(OSRRefH22_23x_0)</f>
        <v>175</v>
      </c>
      <c r="I137" s="1"/>
      <c r="J137" s="5">
        <f t="shared" si="110"/>
        <v>4.5741708335184783E-4</v>
      </c>
      <c r="K137" s="1"/>
      <c r="L137" s="1">
        <f t="shared" si="111"/>
        <v>-125</v>
      </c>
      <c r="M137" s="1"/>
      <c r="N137" s="5">
        <f t="shared" si="112"/>
        <v>-0.7142857142857143</v>
      </c>
      <c r="O137" s="14"/>
      <c r="P137" s="1">
        <f>SUM(OSRRefP22_23x_0)</f>
        <v>760.53</v>
      </c>
      <c r="Q137" s="1"/>
      <c r="R137" s="5">
        <f t="shared" si="113"/>
        <v>2.6516219282707765E-4</v>
      </c>
      <c r="S137" s="1"/>
      <c r="T137" s="1">
        <f>SUM(OSRRefT22_23x_0)</f>
        <v>700</v>
      </c>
      <c r="U137" s="1"/>
      <c r="V137" s="5">
        <f t="shared" si="114"/>
        <v>1.6383171487102817E-4</v>
      </c>
      <c r="W137" s="1"/>
      <c r="X137" s="1">
        <f t="shared" si="115"/>
        <v>60.529999999999973</v>
      </c>
      <c r="Y137" s="1"/>
      <c r="Z137" s="5">
        <f t="shared" si="116"/>
        <v>8.6471428571428532E-2</v>
      </c>
    </row>
    <row r="138" spans="1:26" s="24" customFormat="1" hidden="1" outlineLevel="2" x14ac:dyDescent="0.25">
      <c r="A138" s="27"/>
      <c r="B138" s="11" t="str">
        <f>CONCATENATE("          ", "6292", " - ", "TRAVEL/CONFERENCE")</f>
        <v xml:space="preserve">          6292 - TRAVEL/CONFERENCE</v>
      </c>
      <c r="C138" s="11"/>
      <c r="D138" s="7"/>
      <c r="E138" s="2"/>
      <c r="F138" s="6">
        <f t="shared" si="109"/>
        <v>0</v>
      </c>
      <c r="G138" s="2"/>
      <c r="H138" s="7">
        <v>125</v>
      </c>
      <c r="I138" s="2"/>
      <c r="J138" s="6">
        <f t="shared" si="110"/>
        <v>3.2672648810846272E-4</v>
      </c>
      <c r="K138" s="2"/>
      <c r="L138" s="7">
        <f t="shared" si="111"/>
        <v>-125</v>
      </c>
      <c r="M138" s="2"/>
      <c r="N138" s="6">
        <f t="shared" si="112"/>
        <v>-1</v>
      </c>
      <c r="O138" s="11"/>
      <c r="P138" s="7">
        <v>495</v>
      </c>
      <c r="Q138" s="2"/>
      <c r="R138" s="6">
        <f t="shared" si="113"/>
        <v>1.7258396835023398E-4</v>
      </c>
      <c r="S138" s="2"/>
      <c r="T138" s="7">
        <v>500</v>
      </c>
      <c r="U138" s="2"/>
      <c r="V138" s="6">
        <f t="shared" si="114"/>
        <v>1.1702265347930583E-4</v>
      </c>
      <c r="W138" s="2"/>
      <c r="X138" s="7">
        <f t="shared" si="115"/>
        <v>-5</v>
      </c>
      <c r="Y138" s="2"/>
      <c r="Z138" s="6">
        <f t="shared" si="116"/>
        <v>-0.01</v>
      </c>
    </row>
    <row r="139" spans="1:26" s="24" customFormat="1" hidden="1" outlineLevel="2" x14ac:dyDescent="0.25">
      <c r="A139" s="27"/>
      <c r="B139" s="11" t="str">
        <f>CONCATENATE("          ", "6294", " - ", "TRAVEL OPERATIONAL")</f>
        <v xml:space="preserve">          6294 - TRAVEL OPERATIONAL</v>
      </c>
      <c r="C139" s="11"/>
      <c r="D139" s="7"/>
      <c r="E139" s="2"/>
      <c r="F139" s="6">
        <f t="shared" si="109"/>
        <v>0</v>
      </c>
      <c r="G139" s="2"/>
      <c r="H139" s="7">
        <v>25</v>
      </c>
      <c r="I139" s="2"/>
      <c r="J139" s="6">
        <f t="shared" si="110"/>
        <v>6.5345297621692542E-5</v>
      </c>
      <c r="K139" s="2"/>
      <c r="L139" s="7">
        <f t="shared" si="111"/>
        <v>-25</v>
      </c>
      <c r="M139" s="2"/>
      <c r="N139" s="6">
        <f t="shared" si="112"/>
        <v>-1</v>
      </c>
      <c r="O139" s="11"/>
      <c r="P139" s="7">
        <v>215.53</v>
      </c>
      <c r="Q139" s="2"/>
      <c r="R139" s="6">
        <f t="shared" si="113"/>
        <v>7.5145500401062478E-5</v>
      </c>
      <c r="S139" s="2"/>
      <c r="T139" s="7">
        <v>100</v>
      </c>
      <c r="U139" s="2"/>
      <c r="V139" s="6">
        <f t="shared" si="114"/>
        <v>2.3404530695861166E-5</v>
      </c>
      <c r="W139" s="2"/>
      <c r="X139" s="7">
        <f t="shared" si="115"/>
        <v>115.53</v>
      </c>
      <c r="Y139" s="2"/>
      <c r="Z139" s="6">
        <f t="shared" si="116"/>
        <v>1.1553</v>
      </c>
    </row>
    <row r="140" spans="1:26" s="24" customFormat="1" hidden="1" outlineLevel="2" x14ac:dyDescent="0.25">
      <c r="A140" s="27"/>
      <c r="B140" s="11" t="str">
        <f>CONCATENATE("          ", "6298", " - ", "VEHICLE MILEAGE")</f>
        <v xml:space="preserve">          6298 - VEHICLE MILEAGE</v>
      </c>
      <c r="C140" s="11"/>
      <c r="D140" s="7">
        <v>50</v>
      </c>
      <c r="E140" s="2"/>
      <c r="F140" s="6">
        <f t="shared" si="109"/>
        <v>9.0839101858538967E-5</v>
      </c>
      <c r="G140" s="2"/>
      <c r="H140" s="7">
        <v>25</v>
      </c>
      <c r="I140" s="2"/>
      <c r="J140" s="6">
        <f t="shared" si="110"/>
        <v>6.5345297621692542E-5</v>
      </c>
      <c r="K140" s="2"/>
      <c r="L140" s="7">
        <f t="shared" si="111"/>
        <v>25</v>
      </c>
      <c r="M140" s="2"/>
      <c r="N140" s="6">
        <f t="shared" si="112"/>
        <v>1</v>
      </c>
      <c r="O140" s="11"/>
      <c r="P140" s="7">
        <v>50</v>
      </c>
      <c r="Q140" s="2"/>
      <c r="R140" s="6">
        <f t="shared" si="113"/>
        <v>1.7432724075781211E-5</v>
      </c>
      <c r="S140" s="2"/>
      <c r="T140" s="7">
        <v>100</v>
      </c>
      <c r="U140" s="2"/>
      <c r="V140" s="6">
        <f t="shared" si="114"/>
        <v>2.3404530695861166E-5</v>
      </c>
      <c r="W140" s="2"/>
      <c r="X140" s="7">
        <f t="shared" si="115"/>
        <v>-50</v>
      </c>
      <c r="Y140" s="2"/>
      <c r="Z140" s="6">
        <f t="shared" si="116"/>
        <v>-0.5</v>
      </c>
    </row>
    <row r="141" spans="1:26" s="28" customFormat="1" outlineLevel="1" collapsed="1" x14ac:dyDescent="0.25">
      <c r="A141" s="29"/>
      <c r="B141" s="14" t="str">
        <f>CONCATENATE("     ","Utilities                                         ")</f>
        <v xml:space="preserve">     Utilities                                         </v>
      </c>
      <c r="C141" s="14"/>
      <c r="D141" s="1">
        <f>SUM(OSRRefD22_24x_0)</f>
        <v>6038.6</v>
      </c>
      <c r="E141" s="1"/>
      <c r="F141" s="5">
        <f t="shared" ref="F141:F142" si="117">IF(D$12=0,0,D141/D$12)</f>
        <v>1.097082000965947E-2</v>
      </c>
      <c r="G141" s="1"/>
      <c r="H141" s="1">
        <f>SUM(OSRRefH22_24x_0)</f>
        <v>6120</v>
      </c>
      <c r="I141" s="1"/>
      <c r="J141" s="5">
        <f t="shared" ref="J141:J142" si="118">IF(H$12=0,0,H141/H$12)</f>
        <v>1.5996528857790335E-2</v>
      </c>
      <c r="K141" s="1"/>
      <c r="L141" s="1">
        <f t="shared" ref="L141:L142" si="119">+D141-H141</f>
        <v>-81.399999999999636</v>
      </c>
      <c r="M141" s="1"/>
      <c r="N141" s="5">
        <f t="shared" ref="N141:N142" si="120">IF(H141=0,0,L141/H141)</f>
        <v>-1.3300653594771183E-2</v>
      </c>
      <c r="O141" s="14"/>
      <c r="P141" s="1">
        <f>SUM(OSRRefP22_24x_0)</f>
        <v>24149.98</v>
      </c>
      <c r="Q141" s="1"/>
      <c r="R141" s="5">
        <f t="shared" ref="R141:R142" si="121">IF(P$12=0,0,P141/P$12)</f>
        <v>8.4199987555126938E-3</v>
      </c>
      <c r="S141" s="1"/>
      <c r="T141" s="1">
        <f>SUM(OSRRefT22_24x_0)</f>
        <v>24480</v>
      </c>
      <c r="U141" s="1"/>
      <c r="V141" s="5">
        <f t="shared" ref="V141:V142" si="122">IF(T$12=0,0,T141/T$12)</f>
        <v>5.7294291143468136E-3</v>
      </c>
      <c r="W141" s="1"/>
      <c r="X141" s="1">
        <f t="shared" ref="X141:X142" si="123">+P141-T141</f>
        <v>-330.02000000000044</v>
      </c>
      <c r="Y141" s="1"/>
      <c r="Z141" s="5">
        <f t="shared" ref="Z141:Z142" si="124">IF(T141=0,0,X141/T141)</f>
        <v>-1.3481209150326814E-2</v>
      </c>
    </row>
    <row r="142" spans="1:26" s="24" customFormat="1" hidden="1" outlineLevel="2" x14ac:dyDescent="0.25">
      <c r="A142" s="27"/>
      <c r="B142" s="11" t="str">
        <f>CONCATENATE("          ", "6274", " - ", "UTILITIES")</f>
        <v xml:space="preserve">          6274 - UTILITIES</v>
      </c>
      <c r="C142" s="11"/>
      <c r="D142" s="7">
        <v>6038.6</v>
      </c>
      <c r="E142" s="2"/>
      <c r="F142" s="6">
        <f t="shared" si="117"/>
        <v>1.097082000965947E-2</v>
      </c>
      <c r="G142" s="2"/>
      <c r="H142" s="7">
        <v>6120</v>
      </c>
      <c r="I142" s="2"/>
      <c r="J142" s="6">
        <f t="shared" si="118"/>
        <v>1.5996528857790335E-2</v>
      </c>
      <c r="K142" s="2"/>
      <c r="L142" s="7">
        <f t="shared" si="119"/>
        <v>-81.399999999999636</v>
      </c>
      <c r="M142" s="2"/>
      <c r="N142" s="6">
        <f t="shared" si="120"/>
        <v>-1.3300653594771183E-2</v>
      </c>
      <c r="O142" s="11"/>
      <c r="P142" s="7">
        <v>24149.98</v>
      </c>
      <c r="Q142" s="2"/>
      <c r="R142" s="6">
        <f t="shared" si="121"/>
        <v>8.4199987555126938E-3</v>
      </c>
      <c r="S142" s="2"/>
      <c r="T142" s="7">
        <v>24480</v>
      </c>
      <c r="U142" s="2"/>
      <c r="V142" s="6">
        <f t="shared" si="122"/>
        <v>5.7294291143468136E-3</v>
      </c>
      <c r="W142" s="2"/>
      <c r="X142" s="7">
        <f t="shared" si="123"/>
        <v>-330.02000000000044</v>
      </c>
      <c r="Y142" s="2"/>
      <c r="Z142" s="6">
        <f t="shared" si="124"/>
        <v>-1.3481209150326814E-2</v>
      </c>
    </row>
    <row r="143" spans="1:26" s="60" customFormat="1" x14ac:dyDescent="0.25">
      <c r="A143" s="36"/>
      <c r="B143" s="36"/>
      <c r="C143" s="36"/>
      <c r="D143" s="1"/>
      <c r="E143" s="1"/>
      <c r="F143" s="5"/>
      <c r="G143" s="1"/>
      <c r="H143" s="1"/>
      <c r="I143" s="1"/>
      <c r="J143" s="5"/>
      <c r="K143" s="1"/>
      <c r="L143" s="1"/>
      <c r="M143" s="1"/>
      <c r="N143" s="5"/>
      <c r="O143" s="36"/>
      <c r="P143" s="1"/>
      <c r="Q143" s="1"/>
      <c r="R143" s="5"/>
      <c r="S143" s="1"/>
      <c r="T143" s="1"/>
      <c r="U143" s="1"/>
      <c r="V143" s="5"/>
      <c r="W143" s="1"/>
      <c r="X143" s="1"/>
      <c r="Y143" s="1"/>
      <c r="Z143" s="5"/>
    </row>
    <row r="144" spans="1:26" s="23" customFormat="1" collapsed="1" x14ac:dyDescent="0.25">
      <c r="A144" s="10"/>
      <c r="B144" s="25" t="s">
        <v>293</v>
      </c>
      <c r="C144" s="10"/>
      <c r="D144" s="4">
        <f>SUM(OSRRefD25x_0)</f>
        <v>38787.699999999997</v>
      </c>
      <c r="E144" s="4"/>
      <c r="F144" s="12">
        <f t="shared" ref="F144:F149" si="125">IF(D$12=0,0,D144/D$12)</f>
        <v>7.046879662316903E-2</v>
      </c>
      <c r="G144" s="4"/>
      <c r="H144" s="4">
        <f>SUM(OSRRefH25x_0)</f>
        <v>29265</v>
      </c>
      <c r="I144" s="4"/>
      <c r="J144" s="12">
        <f t="shared" ref="J144:J149" si="126">IF(H$12=0,0,H144/H$12)</f>
        <v>7.6493205395953293E-2</v>
      </c>
      <c r="K144" s="4"/>
      <c r="L144" s="4">
        <f t="shared" ref="L144:L149" si="127">+D144-H144</f>
        <v>9522.6999999999971</v>
      </c>
      <c r="M144" s="4"/>
      <c r="N144" s="12">
        <f t="shared" ref="N144:N149" si="128">IF(H144=0,0,L144/H144)</f>
        <v>0.32539552366307867</v>
      </c>
      <c r="O144" s="10"/>
      <c r="P144" s="4">
        <f>SUM(OSRRefP25x_0)</f>
        <v>401638.98</v>
      </c>
      <c r="Q144" s="4"/>
      <c r="R144" s="12">
        <f t="shared" ref="R144:R149" si="129">IF(P$12=0,0,P144/P$12)</f>
        <v>0.14003323032836415</v>
      </c>
      <c r="S144" s="4"/>
      <c r="T144" s="4">
        <f>SUM(OSRRefT25x_0)</f>
        <v>285261.5</v>
      </c>
      <c r="U144" s="4"/>
      <c r="V144" s="12">
        <f t="shared" ref="V144:V149" si="130">IF(T$12=0,0,T144/T$12)</f>
        <v>6.6764115330973997E-2</v>
      </c>
      <c r="W144" s="4"/>
      <c r="X144" s="4">
        <f t="shared" ref="X144:X149" si="131">+P144-T144</f>
        <v>116377.47999999998</v>
      </c>
      <c r="Y144" s="4"/>
      <c r="Z144" s="12">
        <f t="shared" ref="Z144:Z149" si="132">IF(T144=0,0,X144/T144)</f>
        <v>0.40796770682338829</v>
      </c>
    </row>
    <row r="145" spans="1:26" s="24" customFormat="1" hidden="1" outlineLevel="1" x14ac:dyDescent="0.25">
      <c r="A145" s="44"/>
      <c r="B145" s="11" t="str">
        <f>CONCATENATE("          ", "9150", " - ", "MISC. INCOME")</f>
        <v xml:space="preserve">          9150 - MISC. INCOME</v>
      </c>
      <c r="C145" s="11"/>
      <c r="D145" s="2">
        <f>--28793.44</f>
        <v>28793.439999999999</v>
      </c>
      <c r="E145" s="2"/>
      <c r="F145" s="19">
        <f t="shared" si="125"/>
        <v>5.2311404580354603E-2</v>
      </c>
      <c r="G145" s="2"/>
      <c r="H145" s="2">
        <v>29265</v>
      </c>
      <c r="I145" s="2"/>
      <c r="J145" s="19">
        <f t="shared" si="126"/>
        <v>7.6493205395953293E-2</v>
      </c>
      <c r="K145" s="2"/>
      <c r="L145" s="2">
        <f t="shared" si="127"/>
        <v>-471.56000000000131</v>
      </c>
      <c r="M145" s="2"/>
      <c r="N145" s="19">
        <f t="shared" si="128"/>
        <v>-1.6113446096019179E-2</v>
      </c>
      <c r="O145" s="11"/>
      <c r="P145" s="2">
        <f>--158232.01</f>
        <v>158232.01</v>
      </c>
      <c r="Q145" s="2"/>
      <c r="R145" s="19">
        <f t="shared" si="129"/>
        <v>5.5168299405725069E-2</v>
      </c>
      <c r="S145" s="2"/>
      <c r="T145" s="2">
        <v>80281</v>
      </c>
      <c r="U145" s="2"/>
      <c r="V145" s="19">
        <f t="shared" si="130"/>
        <v>1.8789391287944303E-2</v>
      </c>
      <c r="W145" s="2"/>
      <c r="X145" s="2">
        <f t="shared" si="131"/>
        <v>77951.010000000009</v>
      </c>
      <c r="Y145" s="2"/>
      <c r="Z145" s="19">
        <f t="shared" si="132"/>
        <v>0.97097706804847983</v>
      </c>
    </row>
    <row r="146" spans="1:26" s="24" customFormat="1" hidden="1" outlineLevel="1" x14ac:dyDescent="0.25">
      <c r="A146" s="44"/>
      <c r="B146" s="11" t="str">
        <f>CONCATENATE("          ", "9151", " - ", "MISC. INCOME")</f>
        <v xml:space="preserve">          9151 - MISC. INCOME</v>
      </c>
      <c r="C146" s="11"/>
      <c r="D146" s="2">
        <f>0</f>
        <v>0</v>
      </c>
      <c r="E146" s="2"/>
      <c r="F146" s="19">
        <f t="shared" si="125"/>
        <v>0</v>
      </c>
      <c r="G146" s="2"/>
      <c r="H146" s="2"/>
      <c r="I146" s="2"/>
      <c r="J146" s="19">
        <f t="shared" si="126"/>
        <v>0</v>
      </c>
      <c r="K146" s="2"/>
      <c r="L146" s="2">
        <f t="shared" si="127"/>
        <v>0</v>
      </c>
      <c r="M146" s="2"/>
      <c r="N146" s="19">
        <f t="shared" si="128"/>
        <v>0</v>
      </c>
      <c r="O146" s="11"/>
      <c r="P146" s="2">
        <f>--168463.36</f>
        <v>168463.35999999999</v>
      </c>
      <c r="Q146" s="2"/>
      <c r="R146" s="19">
        <f t="shared" si="129"/>
        <v>5.8735505435179941E-2</v>
      </c>
      <c r="S146" s="2"/>
      <c r="T146" s="2">
        <v>204980.5</v>
      </c>
      <c r="U146" s="2"/>
      <c r="V146" s="19">
        <f t="shared" si="130"/>
        <v>4.7974724043029701E-2</v>
      </c>
      <c r="W146" s="2"/>
      <c r="X146" s="2">
        <f t="shared" si="131"/>
        <v>-36517.140000000014</v>
      </c>
      <c r="Y146" s="2"/>
      <c r="Z146" s="19">
        <f t="shared" si="132"/>
        <v>-0.17814933615636616</v>
      </c>
    </row>
    <row r="147" spans="1:26" s="24" customFormat="1" hidden="1" outlineLevel="1" x14ac:dyDescent="0.25">
      <c r="A147" s="44"/>
      <c r="B147" s="11" t="str">
        <f>CONCATENATE("          ", "9152", " - ", "MISC. INCOME")</f>
        <v xml:space="preserve">          9152 - MISC. INCOME</v>
      </c>
      <c r="C147" s="11"/>
      <c r="D147" s="2">
        <f>--257.3</f>
        <v>257.3</v>
      </c>
      <c r="E147" s="2"/>
      <c r="F147" s="19">
        <f t="shared" si="125"/>
        <v>4.6745801816404158E-4</v>
      </c>
      <c r="G147" s="2"/>
      <c r="H147" s="2"/>
      <c r="I147" s="2"/>
      <c r="J147" s="19">
        <f t="shared" si="126"/>
        <v>0</v>
      </c>
      <c r="K147" s="2"/>
      <c r="L147" s="2">
        <f t="shared" si="127"/>
        <v>257.3</v>
      </c>
      <c r="M147" s="2"/>
      <c r="N147" s="19">
        <f t="shared" si="128"/>
        <v>0</v>
      </c>
      <c r="O147" s="11"/>
      <c r="P147" s="2">
        <f>--2195.41</f>
        <v>2195.41</v>
      </c>
      <c r="Q147" s="2"/>
      <c r="R147" s="19">
        <f t="shared" si="129"/>
        <v>7.6543953526421644E-4</v>
      </c>
      <c r="S147" s="2"/>
      <c r="T147" s="2"/>
      <c r="U147" s="2"/>
      <c r="V147" s="19">
        <f t="shared" si="130"/>
        <v>0</v>
      </c>
      <c r="W147" s="2"/>
      <c r="X147" s="2">
        <f t="shared" si="131"/>
        <v>2195.41</v>
      </c>
      <c r="Y147" s="2"/>
      <c r="Z147" s="19">
        <f t="shared" si="132"/>
        <v>0</v>
      </c>
    </row>
    <row r="148" spans="1:26" s="24" customFormat="1" hidden="1" outlineLevel="1" x14ac:dyDescent="0.25">
      <c r="A148" s="44"/>
      <c r="B148" s="11" t="str">
        <f>CONCATENATE("          ", "9160", " - ", "MISC. INCOME")</f>
        <v xml:space="preserve">          9160 - MISC. INCOME</v>
      </c>
      <c r="C148" s="11"/>
      <c r="D148" s="2">
        <f>0</f>
        <v>0</v>
      </c>
      <c r="E148" s="2"/>
      <c r="F148" s="19">
        <f t="shared" si="125"/>
        <v>0</v>
      </c>
      <c r="G148" s="2"/>
      <c r="H148" s="2">
        <v>0</v>
      </c>
      <c r="I148" s="2"/>
      <c r="J148" s="19">
        <f t="shared" si="126"/>
        <v>0</v>
      </c>
      <c r="K148" s="2"/>
      <c r="L148" s="2">
        <f t="shared" si="127"/>
        <v>0</v>
      </c>
      <c r="M148" s="2"/>
      <c r="N148" s="19">
        <f t="shared" si="128"/>
        <v>0</v>
      </c>
      <c r="O148" s="11"/>
      <c r="P148" s="2">
        <f>0</f>
        <v>0</v>
      </c>
      <c r="Q148" s="2"/>
      <c r="R148" s="19">
        <f t="shared" si="129"/>
        <v>0</v>
      </c>
      <c r="S148" s="2"/>
      <c r="T148" s="2">
        <v>0</v>
      </c>
      <c r="U148" s="2"/>
      <c r="V148" s="19">
        <f t="shared" si="130"/>
        <v>0</v>
      </c>
      <c r="W148" s="2"/>
      <c r="X148" s="2">
        <f t="shared" si="131"/>
        <v>0</v>
      </c>
      <c r="Y148" s="2"/>
      <c r="Z148" s="19">
        <f t="shared" si="132"/>
        <v>0</v>
      </c>
    </row>
    <row r="149" spans="1:26" s="24" customFormat="1" hidden="1" outlineLevel="1" x14ac:dyDescent="0.25">
      <c r="A149" s="44"/>
      <c r="B149" s="11" t="str">
        <f>CONCATENATE("          ", "9163", " - ", "MISC. INCOME")</f>
        <v xml:space="preserve">          9163 - MISC. INCOME</v>
      </c>
      <c r="C149" s="11"/>
      <c r="D149" s="2">
        <f>--9736.96</f>
        <v>9736.9599999999991</v>
      </c>
      <c r="E149" s="2"/>
      <c r="F149" s="19">
        <f t="shared" si="125"/>
        <v>1.768993402465039E-2</v>
      </c>
      <c r="G149" s="2"/>
      <c r="H149" s="2"/>
      <c r="I149" s="2"/>
      <c r="J149" s="19">
        <f t="shared" si="126"/>
        <v>0</v>
      </c>
      <c r="K149" s="2"/>
      <c r="L149" s="2">
        <f t="shared" si="127"/>
        <v>9736.9599999999991</v>
      </c>
      <c r="M149" s="2"/>
      <c r="N149" s="19">
        <f t="shared" si="128"/>
        <v>0</v>
      </c>
      <c r="O149" s="11"/>
      <c r="P149" s="2">
        <f>--72748.2</f>
        <v>72748.2</v>
      </c>
      <c r="Q149" s="2"/>
      <c r="R149" s="19">
        <f t="shared" si="129"/>
        <v>2.5363985952194933E-2</v>
      </c>
      <c r="S149" s="2"/>
      <c r="T149" s="2"/>
      <c r="U149" s="2"/>
      <c r="V149" s="19">
        <f t="shared" si="130"/>
        <v>0</v>
      </c>
      <c r="W149" s="2"/>
      <c r="X149" s="2">
        <f t="shared" si="131"/>
        <v>72748.2</v>
      </c>
      <c r="Y149" s="2"/>
      <c r="Z149" s="19">
        <f t="shared" si="132"/>
        <v>0</v>
      </c>
    </row>
    <row r="150" spans="1:26" x14ac:dyDescent="0.25">
      <c r="A150" s="9"/>
      <c r="B150" s="10"/>
      <c r="C150" s="10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O150" s="10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x14ac:dyDescent="0.25">
      <c r="A151" s="10"/>
      <c r="B151" s="26" t="s">
        <v>277</v>
      </c>
      <c r="C151" s="26"/>
      <c r="D151" s="21">
        <f>+D50-D52+D144</f>
        <v>-52670.340000000157</v>
      </c>
      <c r="E151" s="13"/>
      <c r="F151" s="20">
        <f>IF(D$12=0,0,D151/D$12)</f>
        <v>-9.5690527603677883E-2</v>
      </c>
      <c r="G151" s="13"/>
      <c r="H151" s="21">
        <f>+H50-H52+H144</f>
        <v>-147169.28318075638</v>
      </c>
      <c r="I151" s="13"/>
      <c r="J151" s="20">
        <f>IF(H$12=0,0,H151/H$12)</f>
        <v>-0.38467282440870709</v>
      </c>
      <c r="K151" s="15"/>
      <c r="L151" s="21">
        <f>+D151-H151</f>
        <v>94498.943180756221</v>
      </c>
      <c r="M151" s="15"/>
      <c r="N151" s="20">
        <f>IF(H151=0,0,L151/H151)</f>
        <v>-0.64211050796986391</v>
      </c>
      <c r="O151" s="25"/>
      <c r="P151" s="21">
        <f>+P50-P52+P144</f>
        <v>127603.56000000052</v>
      </c>
      <c r="Q151" s="13"/>
      <c r="R151" s="20">
        <f>IF(P$12=0,0,P151/P$12)</f>
        <v>4.4489553051348024E-2</v>
      </c>
      <c r="S151" s="13"/>
      <c r="T151" s="21">
        <f>+T50-T52+T144</f>
        <v>366974.69399408461</v>
      </c>
      <c r="U151" s="13"/>
      <c r="V151" s="20">
        <f>IF(T$12=0,0,T151/T$12)</f>
        <v>8.5888704901888116E-2</v>
      </c>
      <c r="W151" s="15"/>
      <c r="X151" s="21">
        <f>+P151-T151</f>
        <v>-239371.13399408408</v>
      </c>
      <c r="Y151" s="15"/>
      <c r="Z151" s="20">
        <f>IF(T151=0,0,X151/T151)</f>
        <v>-0.65228239960857515</v>
      </c>
    </row>
    <row r="152" spans="1:26" x14ac:dyDescent="0.25">
      <c r="A152" s="9"/>
      <c r="B152" s="10"/>
      <c r="C152" s="9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x14ac:dyDescent="0.25">
      <c r="A153" s="52"/>
      <c r="B153" s="10" t="s">
        <v>128</v>
      </c>
      <c r="C153" s="10"/>
      <c r="D153" s="4">
        <v>44656.27</v>
      </c>
      <c r="E153" s="4"/>
      <c r="F153" s="12">
        <f>IF(D$12=0,0,D153/D$12)</f>
        <v>8.1130709183048363E-2</v>
      </c>
      <c r="G153" s="4"/>
      <c r="H153" s="4">
        <v>68914</v>
      </c>
      <c r="I153" s="4"/>
      <c r="J153" s="12">
        <f>IF(H$12=0,0,H153/H$12)</f>
        <v>0.1801282336120528</v>
      </c>
      <c r="K153" s="4"/>
      <c r="L153" s="4">
        <f>+D153-H153</f>
        <v>-24257.730000000003</v>
      </c>
      <c r="M153" s="4"/>
      <c r="N153" s="12">
        <f>IF(H153=0,0,L153/H153)</f>
        <v>-0.35200002902167926</v>
      </c>
      <c r="O153" s="10"/>
      <c r="P153" s="4">
        <v>331536.65000000002</v>
      </c>
      <c r="Q153" s="4"/>
      <c r="R153" s="12">
        <f>IF(P$12=0,0,P153/P$12)</f>
        <v>0.11559173880917697</v>
      </c>
      <c r="S153" s="4"/>
      <c r="T153" s="4">
        <v>491319</v>
      </c>
      <c r="U153" s="4"/>
      <c r="V153" s="12">
        <f>IF(T$12=0,0,T153/T$12)</f>
        <v>0.11499090616959812</v>
      </c>
      <c r="W153" s="4"/>
      <c r="X153" s="4">
        <f>+P153-T153</f>
        <v>-159782.34999999998</v>
      </c>
      <c r="Y153" s="4"/>
      <c r="Z153" s="12">
        <f>IF(T153=0,0,X153/T153)</f>
        <v>-0.32521101361844335</v>
      </c>
    </row>
    <row r="154" spans="1:26" x14ac:dyDescent="0.25">
      <c r="A154" s="9"/>
      <c r="B154" s="10"/>
      <c r="C154" s="10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O154" s="10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ht="15.75" thickBot="1" x14ac:dyDescent="0.3">
      <c r="A155" s="10"/>
      <c r="B155" s="26" t="s">
        <v>126</v>
      </c>
      <c r="C155" s="26"/>
      <c r="D155" s="31">
        <f>+D151-D153</f>
        <v>-97326.610000000161</v>
      </c>
      <c r="E155" s="13"/>
      <c r="F155" s="33">
        <f>IF(D$12=0,0,D155/D$12)</f>
        <v>-0.17682123678672626</v>
      </c>
      <c r="G155" s="13"/>
      <c r="H155" s="31">
        <f>+H151-H153</f>
        <v>-216083.28318075638</v>
      </c>
      <c r="I155" s="13"/>
      <c r="J155" s="33">
        <f>IF(H$12=0,0,H155/H$12)</f>
        <v>-0.56480105802075986</v>
      </c>
      <c r="K155" s="15"/>
      <c r="L155" s="31">
        <f>D155-H155</f>
        <v>118756.67318075622</v>
      </c>
      <c r="M155" s="15"/>
      <c r="N155" s="33">
        <f>IF(H155=0,0,L155/H155)</f>
        <v>-0.54958750826372238</v>
      </c>
      <c r="O155" s="25"/>
      <c r="P155" s="31">
        <f>+P151-P153</f>
        <v>-203933.0899999995</v>
      </c>
      <c r="Q155" s="13"/>
      <c r="R155" s="33">
        <f>IF(P$12=0,0,P155/P$12)</f>
        <v>-7.1102185757828951E-2</v>
      </c>
      <c r="S155" s="13"/>
      <c r="T155" s="31">
        <f>+T151-T153</f>
        <v>-124344.30600591539</v>
      </c>
      <c r="U155" s="13"/>
      <c r="V155" s="33">
        <f>IF(T$12=0,0,T155/T$12)</f>
        <v>-2.9102201267710008E-2</v>
      </c>
      <c r="W155" s="15"/>
      <c r="X155" s="31">
        <f>P155-T155</f>
        <v>-79588.783994084108</v>
      </c>
      <c r="Y155" s="15"/>
      <c r="Z155" s="33">
        <f>IF(T155=0,0,X155/T155)</f>
        <v>0.64006778074983062</v>
      </c>
    </row>
    <row r="156" spans="1:26" ht="15.75" thickTop="1" x14ac:dyDescent="0.25">
      <c r="A156" s="9"/>
      <c r="B156" s="9"/>
      <c r="C156" s="9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x14ac:dyDescent="0.25">
      <c r="A157" s="9"/>
      <c r="B157" s="9"/>
      <c r="C157" s="9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ht="15.75" thickBot="1" x14ac:dyDescent="0.3">
      <c r="A158" s="10"/>
      <c r="B158" s="26" t="s">
        <v>294</v>
      </c>
      <c r="C158" s="26"/>
      <c r="D158" s="35">
        <f>SUM(D155:D157)</f>
        <v>-97326.610000000161</v>
      </c>
      <c r="E158" s="13"/>
      <c r="F158" s="32">
        <f>IF(D$12=0,0,D158/D$12)</f>
        <v>-0.17682123678672626</v>
      </c>
      <c r="G158" s="13"/>
      <c r="H158" s="35">
        <f>SUM(H155:H157)</f>
        <v>-216083.28318075638</v>
      </c>
      <c r="I158" s="13"/>
      <c r="J158" s="32">
        <f>IF(H$12=0,0,H158/H$12)</f>
        <v>-0.56480105802075986</v>
      </c>
      <c r="K158" s="15"/>
      <c r="L158" s="35">
        <f>+D158-H158</f>
        <v>118756.67318075622</v>
      </c>
      <c r="M158" s="15"/>
      <c r="N158" s="32">
        <f>IF(H158=0,0,L158/H158)</f>
        <v>-0.54958750826372238</v>
      </c>
      <c r="O158" s="25"/>
      <c r="P158" s="35">
        <f>SUM(P155:P157)</f>
        <v>-203933.0899999995</v>
      </c>
      <c r="Q158" s="13"/>
      <c r="R158" s="32">
        <f>IF(P$12=0,0,P158/P$12)</f>
        <v>-7.1102185757828951E-2</v>
      </c>
      <c r="S158" s="13"/>
      <c r="T158" s="35">
        <f>SUM(T155:T157)</f>
        <v>-124344.30600591539</v>
      </c>
      <c r="U158" s="13"/>
      <c r="V158" s="32">
        <f>IF(T$12=0,0,T158/T$12)</f>
        <v>-2.9102201267710008E-2</v>
      </c>
      <c r="W158" s="15"/>
      <c r="X158" s="35">
        <f>+P158-T158</f>
        <v>-79588.783994084108</v>
      </c>
      <c r="Y158" s="15"/>
      <c r="Z158" s="32">
        <f>IF(T158=0,0,X158/T158)</f>
        <v>0.64006778074983062</v>
      </c>
    </row>
    <row r="159" spans="1:26" ht="15.75" thickTop="1" x14ac:dyDescent="0.25">
      <c r="A159" s="9"/>
      <c r="C159" s="9"/>
      <c r="D159" s="18"/>
      <c r="E159" s="18"/>
      <c r="G159" s="18"/>
      <c r="H159" s="18"/>
      <c r="I159" s="18"/>
      <c r="J159" s="42"/>
      <c r="K159" s="18"/>
      <c r="L159" s="18"/>
      <c r="M159" s="18"/>
      <c r="P159" s="18"/>
      <c r="Q159" s="18"/>
      <c r="R159" s="42"/>
      <c r="S159" s="18"/>
      <c r="T159" s="18"/>
      <c r="U159" s="18"/>
      <c r="V159" s="42"/>
      <c r="W159" s="18"/>
      <c r="X159" s="18"/>
    </row>
    <row r="160" spans="1:26" x14ac:dyDescent="0.25">
      <c r="A160" s="9"/>
      <c r="B160" s="59">
        <v>44517.962839386571</v>
      </c>
      <c r="D160" s="18"/>
      <c r="E160" s="18"/>
      <c r="G160" s="18"/>
      <c r="H160" s="18"/>
      <c r="I160" s="18"/>
      <c r="J160" s="42"/>
      <c r="K160" s="18"/>
      <c r="L160" s="18"/>
      <c r="M160" s="18"/>
      <c r="P160" s="18"/>
      <c r="Q160" s="18"/>
      <c r="R160" s="42"/>
      <c r="S160" s="18"/>
      <c r="T160" s="18"/>
      <c r="U160" s="18"/>
      <c r="V160" s="42"/>
      <c r="W160" s="18"/>
      <c r="X160" s="18"/>
    </row>
    <row r="161" spans="1:24" x14ac:dyDescent="0.25">
      <c r="A161" s="9"/>
      <c r="B161" s="62" t="s">
        <v>56</v>
      </c>
      <c r="D161" s="18"/>
      <c r="E161" s="18"/>
      <c r="G161" s="18"/>
      <c r="H161" s="18"/>
      <c r="I161" s="18"/>
      <c r="J161" s="42"/>
      <c r="K161" s="18"/>
      <c r="L161" s="18"/>
      <c r="M161" s="18"/>
      <c r="P161" s="18"/>
      <c r="Q161" s="18"/>
      <c r="R161" s="42"/>
      <c r="S161" s="18"/>
      <c r="T161" s="18"/>
      <c r="U161" s="18"/>
      <c r="V161" s="42"/>
      <c r="W161" s="18"/>
      <c r="X161" s="18"/>
    </row>
    <row r="162" spans="1:24" x14ac:dyDescent="0.25">
      <c r="A162" s="9"/>
      <c r="B162" s="57"/>
      <c r="D162" s="18"/>
      <c r="E162" s="18"/>
      <c r="G162" s="18"/>
      <c r="H162" s="18"/>
      <c r="I162" s="18"/>
      <c r="J162" s="42"/>
      <c r="K162" s="18"/>
      <c r="L162" s="18"/>
      <c r="M162" s="18"/>
      <c r="P162" s="18"/>
      <c r="Q162" s="18"/>
      <c r="R162" s="42"/>
      <c r="S162" s="18"/>
      <c r="T162" s="18"/>
      <c r="U162" s="18"/>
      <c r="V162" s="42"/>
      <c r="W162" s="18"/>
      <c r="X162" s="18"/>
    </row>
    <row r="163" spans="1:24" x14ac:dyDescent="0.25">
      <c r="D163" s="18"/>
      <c r="E163" s="18"/>
      <c r="G163" s="18"/>
      <c r="H163" s="18"/>
      <c r="I163" s="18"/>
      <c r="J163" s="42"/>
      <c r="K163" s="18"/>
      <c r="L163" s="18"/>
      <c r="M163" s="18"/>
      <c r="P163" s="18"/>
      <c r="Q163" s="18"/>
      <c r="R163" s="42"/>
      <c r="S163" s="18"/>
      <c r="T163" s="18"/>
      <c r="U163" s="18"/>
      <c r="V163" s="42"/>
      <c r="W163" s="18"/>
      <c r="X163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313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</sheetPr>
  <dimension ref="A2:Z17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314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677463.59000000008</v>
      </c>
      <c r="E12" s="4"/>
      <c r="F12" s="12"/>
      <c r="G12" s="4"/>
      <c r="H12" s="4">
        <f>SUM(OSRRefH13x_0)</f>
        <v>492253</v>
      </c>
      <c r="I12" s="4"/>
      <c r="J12" s="12"/>
      <c r="K12" s="4"/>
      <c r="L12" s="4">
        <f t="shared" ref="L12:L19" si="0">+D12-H12</f>
        <v>185210.59000000008</v>
      </c>
      <c r="M12" s="4"/>
      <c r="N12" s="12">
        <f t="shared" ref="N12:N19" si="1">IF(H12=0,0,L12/H12)</f>
        <v>0.37625081005092925</v>
      </c>
      <c r="O12" s="10"/>
      <c r="P12" s="4">
        <f>SUM(OSRRefP13x_0)</f>
        <v>3608748.7800000003</v>
      </c>
      <c r="Q12" s="4"/>
      <c r="R12" s="12"/>
      <c r="S12" s="4"/>
      <c r="T12" s="4">
        <f>SUM(OSRRefT13x_0)</f>
        <v>5276482</v>
      </c>
      <c r="U12" s="4"/>
      <c r="V12" s="12"/>
      <c r="W12" s="4"/>
      <c r="X12" s="4">
        <f t="shared" ref="X12:X19" si="2">+P12-T12</f>
        <v>-1667733.2199999997</v>
      </c>
      <c r="Y12" s="4"/>
      <c r="Z12" s="12">
        <f t="shared" ref="Z12:Z19" si="3">IF(T12=0,0,X12/T12)</f>
        <v>-0.31606915744240194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--562742.81</f>
        <v>562742.81000000006</v>
      </c>
      <c r="E13" s="2"/>
      <c r="F13" s="19"/>
      <c r="G13" s="2"/>
      <c r="H13" s="2">
        <v>434852</v>
      </c>
      <c r="I13" s="2"/>
      <c r="J13" s="19"/>
      <c r="K13" s="2"/>
      <c r="L13" s="2">
        <f t="shared" si="0"/>
        <v>127890.81000000006</v>
      </c>
      <c r="M13" s="2"/>
      <c r="N13" s="19">
        <f t="shared" si="1"/>
        <v>0.29410192433287657</v>
      </c>
      <c r="O13" s="11"/>
      <c r="P13" s="2">
        <f>--2952024.71</f>
        <v>2952024.71</v>
      </c>
      <c r="Q13" s="2"/>
      <c r="R13" s="19"/>
      <c r="S13" s="2"/>
      <c r="T13" s="2">
        <v>5120317</v>
      </c>
      <c r="U13" s="2"/>
      <c r="V13" s="19"/>
      <c r="W13" s="2"/>
      <c r="X13" s="2">
        <f t="shared" si="2"/>
        <v>-2168292.29</v>
      </c>
      <c r="Y13" s="2"/>
      <c r="Z13" s="19">
        <f t="shared" si="3"/>
        <v>-0.42346836924354486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--178163.85</f>
        <v>178163.85</v>
      </c>
      <c r="E14" s="2"/>
      <c r="F14" s="19"/>
      <c r="G14" s="2"/>
      <c r="H14" s="2">
        <v>57401</v>
      </c>
      <c r="I14" s="2"/>
      <c r="J14" s="19"/>
      <c r="K14" s="2"/>
      <c r="L14" s="2">
        <f t="shared" si="0"/>
        <v>120762.85</v>
      </c>
      <c r="M14" s="2"/>
      <c r="N14" s="19">
        <f t="shared" si="1"/>
        <v>2.1038457518161704</v>
      </c>
      <c r="O14" s="11"/>
      <c r="P14" s="2">
        <f>--861636.75</f>
        <v>861636.75</v>
      </c>
      <c r="Q14" s="2"/>
      <c r="R14" s="19"/>
      <c r="S14" s="2"/>
      <c r="T14" s="2">
        <v>156165</v>
      </c>
      <c r="U14" s="2"/>
      <c r="V14" s="19"/>
      <c r="W14" s="2"/>
      <c r="X14" s="2">
        <f t="shared" si="2"/>
        <v>705471.75</v>
      </c>
      <c r="Y14" s="2"/>
      <c r="Z14" s="19">
        <f t="shared" si="3"/>
        <v>4.5174767073287869</v>
      </c>
    </row>
    <row r="15" spans="1:26" s="24" customFormat="1" hidden="1" outlineLevel="1" x14ac:dyDescent="0.25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>-460.55</f>
        <v>-460.55</v>
      </c>
      <c r="E15" s="2"/>
      <c r="F15" s="19"/>
      <c r="G15" s="2"/>
      <c r="H15" s="2"/>
      <c r="I15" s="2"/>
      <c r="J15" s="19"/>
      <c r="K15" s="2"/>
      <c r="L15" s="2">
        <f t="shared" si="0"/>
        <v>-460.55</v>
      </c>
      <c r="M15" s="2"/>
      <c r="N15" s="19">
        <f t="shared" si="1"/>
        <v>0</v>
      </c>
      <c r="O15" s="11"/>
      <c r="P15" s="2">
        <f t="shared" ref="P15:P16" si="4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>-7492.95</f>
        <v>-7492.95</v>
      </c>
      <c r="E16" s="2"/>
      <c r="F16" s="19"/>
      <c r="G16" s="2"/>
      <c r="H16" s="2"/>
      <c r="I16" s="2"/>
      <c r="J16" s="19"/>
      <c r="K16" s="2"/>
      <c r="L16" s="2">
        <f t="shared" si="0"/>
        <v>-7492.95</v>
      </c>
      <c r="M16" s="2"/>
      <c r="N16" s="19">
        <f t="shared" si="1"/>
        <v>0</v>
      </c>
      <c r="O16" s="11"/>
      <c r="P16" s="2">
        <f t="shared" si="4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"4200", " - ", "TAXABLE RETURNS")</f>
        <v xml:space="preserve">          4200 - TAXABLE RETURNS</v>
      </c>
      <c r="C17" s="11"/>
      <c r="D17" s="2">
        <f>-42133.25</f>
        <v>-42133.25</v>
      </c>
      <c r="E17" s="2"/>
      <c r="F17" s="19"/>
      <c r="G17" s="2"/>
      <c r="H17" s="2"/>
      <c r="I17" s="2"/>
      <c r="J17" s="19"/>
      <c r="K17" s="2"/>
      <c r="L17" s="2">
        <f t="shared" si="0"/>
        <v>-42133.25</v>
      </c>
      <c r="M17" s="2"/>
      <c r="N17" s="19">
        <f t="shared" si="1"/>
        <v>0</v>
      </c>
      <c r="O17" s="11"/>
      <c r="P17" s="2">
        <f>-170760.32</f>
        <v>-170760.32000000001</v>
      </c>
      <c r="Q17" s="2"/>
      <c r="R17" s="19"/>
      <c r="S17" s="2"/>
      <c r="T17" s="2"/>
      <c r="U17" s="2"/>
      <c r="V17" s="19"/>
      <c r="W17" s="2"/>
      <c r="X17" s="2">
        <f t="shared" si="2"/>
        <v>-170760.32000000001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"4300", " - ", "NON-TAX RETURNS")</f>
        <v xml:space="preserve">          4300 - NON-TAX RETURNS</v>
      </c>
      <c r="C18" s="11"/>
      <c r="D18" s="2">
        <f>-5693.23</f>
        <v>-5693.23</v>
      </c>
      <c r="E18" s="2"/>
      <c r="F18" s="19"/>
      <c r="G18" s="2"/>
      <c r="H18" s="2"/>
      <c r="I18" s="2"/>
      <c r="J18" s="19"/>
      <c r="K18" s="2"/>
      <c r="L18" s="2">
        <f t="shared" si="0"/>
        <v>-5693.23</v>
      </c>
      <c r="M18" s="2"/>
      <c r="N18" s="19">
        <f t="shared" si="1"/>
        <v>0</v>
      </c>
      <c r="O18" s="11"/>
      <c r="P18" s="2">
        <f>-26489.27</f>
        <v>-26489.27</v>
      </c>
      <c r="Q18" s="2"/>
      <c r="R18" s="19"/>
      <c r="S18" s="2"/>
      <c r="T18" s="2"/>
      <c r="U18" s="2"/>
      <c r="V18" s="19"/>
      <c r="W18" s="2"/>
      <c r="X18" s="2">
        <f t="shared" si="2"/>
        <v>-26489.27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"4500", " - ", "SALES DISCOUNT")</f>
        <v xml:space="preserve">          4500 - SALES DISCOUNT</v>
      </c>
      <c r="C19" s="11"/>
      <c r="D19" s="2">
        <f>-7663.09</f>
        <v>-7663.09</v>
      </c>
      <c r="E19" s="2"/>
      <c r="F19" s="19"/>
      <c r="G19" s="2"/>
      <c r="H19" s="2"/>
      <c r="I19" s="2"/>
      <c r="J19" s="19"/>
      <c r="K19" s="2"/>
      <c r="L19" s="2">
        <f t="shared" si="0"/>
        <v>-7663.09</v>
      </c>
      <c r="M19" s="2"/>
      <c r="N19" s="19">
        <f t="shared" si="1"/>
        <v>0</v>
      </c>
      <c r="O19" s="11"/>
      <c r="P19" s="2">
        <f>-7663.09</f>
        <v>-7663.09</v>
      </c>
      <c r="Q19" s="2"/>
      <c r="R19" s="19"/>
      <c r="S19" s="2"/>
      <c r="T19" s="2"/>
      <c r="U19" s="2"/>
      <c r="V19" s="19"/>
      <c r="W19" s="2"/>
      <c r="X19" s="2">
        <f t="shared" si="2"/>
        <v>-7663.09</v>
      </c>
      <c r="Y19" s="2"/>
      <c r="Z19" s="19">
        <f t="shared" si="3"/>
        <v>0</v>
      </c>
    </row>
    <row r="20" spans="1:26" x14ac:dyDescent="0.25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25">
      <c r="A21" s="10"/>
      <c r="B21" s="25" t="s">
        <v>257</v>
      </c>
      <c r="C21" s="10"/>
      <c r="D21" s="4">
        <f>SUM(OSRRefD16x_0)</f>
        <v>438990.99000000005</v>
      </c>
      <c r="E21" s="4"/>
      <c r="F21" s="12">
        <f t="shared" ref="F21:F54" si="5">IF(D$12=0,0,D21/D$12)</f>
        <v>0.64799200500206955</v>
      </c>
      <c r="G21" s="4"/>
      <c r="H21" s="4">
        <f>SUM(OSRRefH16x_0)</f>
        <v>286879</v>
      </c>
      <c r="I21" s="4"/>
      <c r="J21" s="12">
        <f t="shared" ref="J21:J54" si="6">IF(H$12=0,0,H21/H$12)</f>
        <v>0.58278771282247133</v>
      </c>
      <c r="K21" s="4"/>
      <c r="L21" s="4">
        <f t="shared" ref="L21:L54" si="7">+D21-H21</f>
        <v>152111.99000000005</v>
      </c>
      <c r="M21" s="4"/>
      <c r="N21" s="12">
        <f t="shared" ref="N21:N54" si="8">IF(H21=0,0,L21/H21)</f>
        <v>0.53023048044646015</v>
      </c>
      <c r="O21" s="10"/>
      <c r="P21" s="4">
        <f>SUM(OSRRefP16x_0)</f>
        <v>2435485.2399999998</v>
      </c>
      <c r="Q21" s="4"/>
      <c r="R21" s="12">
        <f t="shared" ref="R21:R54" si="9">IF(P$12=0,0,P21/P$12)</f>
        <v>0.6748835644912915</v>
      </c>
      <c r="S21" s="4"/>
      <c r="T21" s="4">
        <f>SUM(OSRRefT16x_0)</f>
        <v>3648525</v>
      </c>
      <c r="U21" s="4"/>
      <c r="V21" s="12">
        <f t="shared" ref="V21:V54" si="10">IF(T$12=0,0,T21/T$12)</f>
        <v>0.69146924030063972</v>
      </c>
      <c r="W21" s="4"/>
      <c r="X21" s="4">
        <f t="shared" ref="X21:X54" si="11">+P21-T21</f>
        <v>-1213039.7600000002</v>
      </c>
      <c r="Y21" s="4"/>
      <c r="Z21" s="12">
        <f t="shared" ref="Z21:Z54" si="12">IF(T21=0,0,X21/T21)</f>
        <v>-0.33247401621203093</v>
      </c>
    </row>
    <row r="22" spans="1:26" s="24" customFormat="1" hidden="1" outlineLevel="1" x14ac:dyDescent="0.25">
      <c r="A22" s="44"/>
      <c r="B22" s="11" t="str">
        <f>CONCATENATE("          ", "5000", " - ", "PURCHASES @ COST")</f>
        <v xml:space="preserve">          5000 - PURCHASES @ COST</v>
      </c>
      <c r="C22" s="11"/>
      <c r="D22" s="2">
        <v>879528.49</v>
      </c>
      <c r="E22" s="2"/>
      <c r="F22" s="19">
        <f t="shared" si="5"/>
        <v>1.2982668042720935</v>
      </c>
      <c r="G22" s="2"/>
      <c r="H22" s="2">
        <v>286879</v>
      </c>
      <c r="I22" s="2"/>
      <c r="J22" s="19">
        <f t="shared" si="6"/>
        <v>0.58278771282247133</v>
      </c>
      <c r="K22" s="2"/>
      <c r="L22" s="2">
        <f t="shared" si="7"/>
        <v>592649.49</v>
      </c>
      <c r="M22" s="2"/>
      <c r="N22" s="19">
        <f t="shared" si="8"/>
        <v>2.0658517702585408</v>
      </c>
      <c r="O22" s="11"/>
      <c r="P22" s="2">
        <v>3002989.31</v>
      </c>
      <c r="Q22" s="2"/>
      <c r="R22" s="19">
        <f t="shared" si="9"/>
        <v>0.83214141329061975</v>
      </c>
      <c r="S22" s="2"/>
      <c r="T22" s="2">
        <v>3648525</v>
      </c>
      <c r="U22" s="2"/>
      <c r="V22" s="19">
        <f t="shared" si="10"/>
        <v>0.69146924030063972</v>
      </c>
      <c r="W22" s="2"/>
      <c r="X22" s="2">
        <f t="shared" si="11"/>
        <v>-645535.68999999994</v>
      </c>
      <c r="Y22" s="2"/>
      <c r="Z22" s="19">
        <f t="shared" si="12"/>
        <v>-0.17693059249970877</v>
      </c>
    </row>
    <row r="23" spans="1:26" s="24" customFormat="1" hidden="1" outlineLevel="1" x14ac:dyDescent="0.25">
      <c r="A23" s="44"/>
      <c r="B23" s="11" t="str">
        <f>CONCATENATE("          ", "5001", " - ", "PURCHASES @ COST-NEW TEXT")</f>
        <v xml:space="preserve">          5001 - PURCHASES @ COST-NEW TEXT</v>
      </c>
      <c r="C23" s="11"/>
      <c r="D23" s="2">
        <v>0</v>
      </c>
      <c r="E23" s="2"/>
      <c r="F23" s="19">
        <f t="shared" si="5"/>
        <v>0</v>
      </c>
      <c r="G23" s="2"/>
      <c r="H23" s="2"/>
      <c r="I23" s="2"/>
      <c r="J23" s="19">
        <f t="shared" si="6"/>
        <v>0</v>
      </c>
      <c r="K23" s="2"/>
      <c r="L23" s="2">
        <f t="shared" si="7"/>
        <v>0</v>
      </c>
      <c r="M23" s="2"/>
      <c r="N23" s="19">
        <f t="shared" si="8"/>
        <v>0</v>
      </c>
      <c r="O23" s="11"/>
      <c r="P23" s="2">
        <v>0</v>
      </c>
      <c r="Q23" s="2"/>
      <c r="R23" s="19">
        <f t="shared" si="9"/>
        <v>0</v>
      </c>
      <c r="S23" s="2"/>
      <c r="T23" s="2"/>
      <c r="U23" s="2"/>
      <c r="V23" s="19">
        <f t="shared" si="10"/>
        <v>0</v>
      </c>
      <c r="W23" s="2"/>
      <c r="X23" s="2">
        <f t="shared" si="11"/>
        <v>0</v>
      </c>
      <c r="Y23" s="2"/>
      <c r="Z23" s="19">
        <f t="shared" si="12"/>
        <v>0</v>
      </c>
    </row>
    <row r="24" spans="1:26" s="24" customFormat="1" hidden="1" outlineLevel="1" x14ac:dyDescent="0.25">
      <c r="A24" s="44"/>
      <c r="B24" s="11" t="str">
        <f>CONCATENATE("          ", "5002", " - ", "PURCHASES @ COST-USED TEXT")</f>
        <v xml:space="preserve">          5002 - PURCHASES @ COST-USED TEXT</v>
      </c>
      <c r="C24" s="11"/>
      <c r="D24" s="2"/>
      <c r="E24" s="2"/>
      <c r="F24" s="19">
        <f t="shared" si="5"/>
        <v>0</v>
      </c>
      <c r="G24" s="2"/>
      <c r="H24" s="2"/>
      <c r="I24" s="2"/>
      <c r="J24" s="19">
        <f t="shared" si="6"/>
        <v>0</v>
      </c>
      <c r="K24" s="2"/>
      <c r="L24" s="2">
        <f t="shared" si="7"/>
        <v>0</v>
      </c>
      <c r="M24" s="2"/>
      <c r="N24" s="19">
        <f t="shared" si="8"/>
        <v>0</v>
      </c>
      <c r="O24" s="11"/>
      <c r="P24" s="2">
        <v>0</v>
      </c>
      <c r="Q24" s="2"/>
      <c r="R24" s="19">
        <f t="shared" si="9"/>
        <v>0</v>
      </c>
      <c r="S24" s="2"/>
      <c r="T24" s="2"/>
      <c r="U24" s="2"/>
      <c r="V24" s="19">
        <f t="shared" si="10"/>
        <v>0</v>
      </c>
      <c r="W24" s="2"/>
      <c r="X24" s="2">
        <f t="shared" si="11"/>
        <v>0</v>
      </c>
      <c r="Y24" s="2"/>
      <c r="Z24" s="19">
        <f t="shared" si="12"/>
        <v>0</v>
      </c>
    </row>
    <row r="25" spans="1:26" s="24" customFormat="1" hidden="1" outlineLevel="1" x14ac:dyDescent="0.25">
      <c r="A25" s="44"/>
      <c r="B25" s="11" t="str">
        <f>CONCATENATE("          ", "5004", " - ", "PURCHASES @ COST-DIGITAL TEXT")</f>
        <v xml:space="preserve">          5004 - PURCHASES @ COST-DIGITAL TEXT</v>
      </c>
      <c r="C25" s="11"/>
      <c r="D25" s="2"/>
      <c r="E25" s="2"/>
      <c r="F25" s="19">
        <f t="shared" si="5"/>
        <v>0</v>
      </c>
      <c r="G25" s="2"/>
      <c r="H25" s="2"/>
      <c r="I25" s="2"/>
      <c r="J25" s="19">
        <f t="shared" si="6"/>
        <v>0</v>
      </c>
      <c r="K25" s="2"/>
      <c r="L25" s="2">
        <f t="shared" si="7"/>
        <v>0</v>
      </c>
      <c r="M25" s="2"/>
      <c r="N25" s="19">
        <f t="shared" si="8"/>
        <v>0</v>
      </c>
      <c r="O25" s="11"/>
      <c r="P25" s="2">
        <v>0</v>
      </c>
      <c r="Q25" s="2"/>
      <c r="R25" s="19">
        <f t="shared" si="9"/>
        <v>0</v>
      </c>
      <c r="S25" s="2"/>
      <c r="T25" s="2"/>
      <c r="U25" s="2"/>
      <c r="V25" s="19">
        <f t="shared" si="10"/>
        <v>0</v>
      </c>
      <c r="W25" s="2"/>
      <c r="X25" s="2">
        <f t="shared" si="11"/>
        <v>0</v>
      </c>
      <c r="Y25" s="2"/>
      <c r="Z25" s="19">
        <f t="shared" si="12"/>
        <v>0</v>
      </c>
    </row>
    <row r="26" spans="1:26" s="24" customFormat="1" hidden="1" outlineLevel="1" x14ac:dyDescent="0.25">
      <c r="A26" s="44"/>
      <c r="B26" s="11" t="str">
        <f>CONCATENATE("          ", "5026", " - ", "PURCHASES @ COST-WRITING INSTR")</f>
        <v xml:space="preserve">          5026 - PURCHASES @ COST-WRITING INSTR</v>
      </c>
      <c r="C26" s="11"/>
      <c r="D26" s="2"/>
      <c r="E26" s="2"/>
      <c r="F26" s="19">
        <f t="shared" si="5"/>
        <v>0</v>
      </c>
      <c r="G26" s="2"/>
      <c r="H26" s="2"/>
      <c r="I26" s="2"/>
      <c r="J26" s="19">
        <f t="shared" si="6"/>
        <v>0</v>
      </c>
      <c r="K26" s="2"/>
      <c r="L26" s="2">
        <f t="shared" si="7"/>
        <v>0</v>
      </c>
      <c r="M26" s="2"/>
      <c r="N26" s="19">
        <f t="shared" si="8"/>
        <v>0</v>
      </c>
      <c r="O26" s="11"/>
      <c r="P26" s="2">
        <v>0</v>
      </c>
      <c r="Q26" s="2"/>
      <c r="R26" s="19">
        <f t="shared" si="9"/>
        <v>0</v>
      </c>
      <c r="S26" s="2"/>
      <c r="T26" s="2"/>
      <c r="U26" s="2"/>
      <c r="V26" s="19">
        <f t="shared" si="10"/>
        <v>0</v>
      </c>
      <c r="W26" s="2"/>
      <c r="X26" s="2">
        <f t="shared" si="11"/>
        <v>0</v>
      </c>
      <c r="Y26" s="2"/>
      <c r="Z26" s="19">
        <f t="shared" si="12"/>
        <v>0</v>
      </c>
    </row>
    <row r="27" spans="1:26" s="24" customFormat="1" hidden="1" outlineLevel="1" x14ac:dyDescent="0.25">
      <c r="A27" s="44"/>
      <c r="B27" s="11" t="str">
        <f>CONCATENATE("          ", "5027", " - ", "PURCHASES @ COST-SCHOOL SUPPLI")</f>
        <v xml:space="preserve">          5027 - PURCHASES @ COST-SCHOOL SUPPLI</v>
      </c>
      <c r="C27" s="11"/>
      <c r="D27" s="2"/>
      <c r="E27" s="2"/>
      <c r="F27" s="19">
        <f t="shared" si="5"/>
        <v>0</v>
      </c>
      <c r="G27" s="2"/>
      <c r="H27" s="2"/>
      <c r="I27" s="2"/>
      <c r="J27" s="19">
        <f t="shared" si="6"/>
        <v>0</v>
      </c>
      <c r="K27" s="2"/>
      <c r="L27" s="2">
        <f t="shared" si="7"/>
        <v>0</v>
      </c>
      <c r="M27" s="2"/>
      <c r="N27" s="19">
        <f t="shared" si="8"/>
        <v>0</v>
      </c>
      <c r="O27" s="11"/>
      <c r="P27" s="2">
        <v>0</v>
      </c>
      <c r="Q27" s="2"/>
      <c r="R27" s="19">
        <f t="shared" si="9"/>
        <v>0</v>
      </c>
      <c r="S27" s="2"/>
      <c r="T27" s="2"/>
      <c r="U27" s="2"/>
      <c r="V27" s="19">
        <f t="shared" si="10"/>
        <v>0</v>
      </c>
      <c r="W27" s="2"/>
      <c r="X27" s="2">
        <f t="shared" si="11"/>
        <v>0</v>
      </c>
      <c r="Y27" s="2"/>
      <c r="Z27" s="19">
        <f t="shared" si="12"/>
        <v>0</v>
      </c>
    </row>
    <row r="28" spans="1:26" s="24" customFormat="1" hidden="1" outlineLevel="1" x14ac:dyDescent="0.25">
      <c r="A28" s="44"/>
      <c r="B28" s="11" t="str">
        <f>CONCATENATE("          ", "5028", " - ", "PURCHASES @ COST-ART/TECH")</f>
        <v xml:space="preserve">          5028 - PURCHASES @ COST-ART/TECH</v>
      </c>
      <c r="C28" s="11"/>
      <c r="D28" s="2"/>
      <c r="E28" s="2"/>
      <c r="F28" s="19">
        <f t="shared" si="5"/>
        <v>0</v>
      </c>
      <c r="G28" s="2"/>
      <c r="H28" s="2"/>
      <c r="I28" s="2"/>
      <c r="J28" s="19">
        <f t="shared" si="6"/>
        <v>0</v>
      </c>
      <c r="K28" s="2"/>
      <c r="L28" s="2">
        <f t="shared" si="7"/>
        <v>0</v>
      </c>
      <c r="M28" s="2"/>
      <c r="N28" s="19">
        <f t="shared" si="8"/>
        <v>0</v>
      </c>
      <c r="O28" s="11"/>
      <c r="P28" s="2">
        <v>0</v>
      </c>
      <c r="Q28" s="2"/>
      <c r="R28" s="19">
        <f t="shared" si="9"/>
        <v>0</v>
      </c>
      <c r="S28" s="2"/>
      <c r="T28" s="2"/>
      <c r="U28" s="2"/>
      <c r="V28" s="19">
        <f t="shared" si="10"/>
        <v>0</v>
      </c>
      <c r="W28" s="2"/>
      <c r="X28" s="2">
        <f t="shared" si="11"/>
        <v>0</v>
      </c>
      <c r="Y28" s="2"/>
      <c r="Z28" s="19">
        <f t="shared" si="12"/>
        <v>0</v>
      </c>
    </row>
    <row r="29" spans="1:26" s="24" customFormat="1" hidden="1" outlineLevel="1" x14ac:dyDescent="0.25">
      <c r="A29" s="44"/>
      <c r="B29" s="11" t="str">
        <f>CONCATENATE("          ", "5031", " - ", "PURCHASES @ COST-FOOD")</f>
        <v xml:space="preserve">          5031 - PURCHASES @ COST-FOOD</v>
      </c>
      <c r="C29" s="11"/>
      <c r="D29" s="2"/>
      <c r="E29" s="2"/>
      <c r="F29" s="19">
        <f t="shared" si="5"/>
        <v>0</v>
      </c>
      <c r="G29" s="2"/>
      <c r="H29" s="2"/>
      <c r="I29" s="2"/>
      <c r="J29" s="19">
        <f t="shared" si="6"/>
        <v>0</v>
      </c>
      <c r="K29" s="2"/>
      <c r="L29" s="2">
        <f t="shared" si="7"/>
        <v>0</v>
      </c>
      <c r="M29" s="2"/>
      <c r="N29" s="19">
        <f t="shared" si="8"/>
        <v>0</v>
      </c>
      <c r="O29" s="11"/>
      <c r="P29" s="2">
        <v>0</v>
      </c>
      <c r="Q29" s="2"/>
      <c r="R29" s="19">
        <f t="shared" si="9"/>
        <v>0</v>
      </c>
      <c r="S29" s="2"/>
      <c r="T29" s="2"/>
      <c r="U29" s="2"/>
      <c r="V29" s="19">
        <f t="shared" si="10"/>
        <v>0</v>
      </c>
      <c r="W29" s="2"/>
      <c r="X29" s="2">
        <f t="shared" si="11"/>
        <v>0</v>
      </c>
      <c r="Y29" s="2"/>
      <c r="Z29" s="19">
        <f t="shared" si="12"/>
        <v>0</v>
      </c>
    </row>
    <row r="30" spans="1:26" s="24" customFormat="1" hidden="1" outlineLevel="1" x14ac:dyDescent="0.25">
      <c r="A30" s="44"/>
      <c r="B30" s="11" t="str">
        <f>CONCATENATE("          ", "5040", " - ", "PURCHASES @ COST-LOGO CLOTHING")</f>
        <v xml:space="preserve">          5040 - PURCHASES @ COST-LOGO CLOTHING</v>
      </c>
      <c r="C30" s="11"/>
      <c r="D30" s="2"/>
      <c r="E30" s="2"/>
      <c r="F30" s="19">
        <f t="shared" si="5"/>
        <v>0</v>
      </c>
      <c r="G30" s="2"/>
      <c r="H30" s="2"/>
      <c r="I30" s="2"/>
      <c r="J30" s="19">
        <f t="shared" si="6"/>
        <v>0</v>
      </c>
      <c r="K30" s="2"/>
      <c r="L30" s="2">
        <f t="shared" si="7"/>
        <v>0</v>
      </c>
      <c r="M30" s="2"/>
      <c r="N30" s="19">
        <f t="shared" si="8"/>
        <v>0</v>
      </c>
      <c r="O30" s="11"/>
      <c r="P30" s="2">
        <v>0</v>
      </c>
      <c r="Q30" s="2"/>
      <c r="R30" s="19">
        <f t="shared" si="9"/>
        <v>0</v>
      </c>
      <c r="S30" s="2"/>
      <c r="T30" s="2"/>
      <c r="U30" s="2"/>
      <c r="V30" s="19">
        <f t="shared" si="10"/>
        <v>0</v>
      </c>
      <c r="W30" s="2"/>
      <c r="X30" s="2">
        <f t="shared" si="11"/>
        <v>0</v>
      </c>
      <c r="Y30" s="2"/>
      <c r="Z30" s="19">
        <f t="shared" si="12"/>
        <v>0</v>
      </c>
    </row>
    <row r="31" spans="1:26" s="24" customFormat="1" hidden="1" outlineLevel="1" x14ac:dyDescent="0.25">
      <c r="A31" s="44"/>
      <c r="B31" s="11" t="str">
        <f>CONCATENATE("          ", "5041", " - ", "PURCHASES @ COST-LOGO GIFTS")</f>
        <v xml:space="preserve">          5041 - PURCHASES @ COST-LOGO GIFTS</v>
      </c>
      <c r="C31" s="11"/>
      <c r="D31" s="2"/>
      <c r="E31" s="2"/>
      <c r="F31" s="19">
        <f t="shared" si="5"/>
        <v>0</v>
      </c>
      <c r="G31" s="2"/>
      <c r="H31" s="2"/>
      <c r="I31" s="2"/>
      <c r="J31" s="19">
        <f t="shared" si="6"/>
        <v>0</v>
      </c>
      <c r="K31" s="2"/>
      <c r="L31" s="2">
        <f t="shared" si="7"/>
        <v>0</v>
      </c>
      <c r="M31" s="2"/>
      <c r="N31" s="19">
        <f t="shared" si="8"/>
        <v>0</v>
      </c>
      <c r="O31" s="11"/>
      <c r="P31" s="2">
        <v>0</v>
      </c>
      <c r="Q31" s="2"/>
      <c r="R31" s="19">
        <f t="shared" si="9"/>
        <v>0</v>
      </c>
      <c r="S31" s="2"/>
      <c r="T31" s="2"/>
      <c r="U31" s="2"/>
      <c r="V31" s="19">
        <f t="shared" si="10"/>
        <v>0</v>
      </c>
      <c r="W31" s="2"/>
      <c r="X31" s="2">
        <f t="shared" si="11"/>
        <v>0</v>
      </c>
      <c r="Y31" s="2"/>
      <c r="Z31" s="19">
        <f t="shared" si="12"/>
        <v>0</v>
      </c>
    </row>
    <row r="32" spans="1:26" s="24" customFormat="1" hidden="1" outlineLevel="1" x14ac:dyDescent="0.25">
      <c r="A32" s="44"/>
      <c r="B32" s="11" t="str">
        <f>CONCATENATE("          ", "5042", " - ", "PURCHASES @ COST-EVERYDAY GIFT")</f>
        <v xml:space="preserve">          5042 - PURCHASES @ COST-EVERYDAY GIFT</v>
      </c>
      <c r="C32" s="11"/>
      <c r="D32" s="2"/>
      <c r="E32" s="2"/>
      <c r="F32" s="19">
        <f t="shared" si="5"/>
        <v>0</v>
      </c>
      <c r="G32" s="2"/>
      <c r="H32" s="2"/>
      <c r="I32" s="2"/>
      <c r="J32" s="19">
        <f t="shared" si="6"/>
        <v>0</v>
      </c>
      <c r="K32" s="2"/>
      <c r="L32" s="2">
        <f t="shared" si="7"/>
        <v>0</v>
      </c>
      <c r="M32" s="2"/>
      <c r="N32" s="19">
        <f t="shared" si="8"/>
        <v>0</v>
      </c>
      <c r="O32" s="11"/>
      <c r="P32" s="2">
        <v>0</v>
      </c>
      <c r="Q32" s="2"/>
      <c r="R32" s="19">
        <f t="shared" si="9"/>
        <v>0</v>
      </c>
      <c r="S32" s="2"/>
      <c r="T32" s="2"/>
      <c r="U32" s="2"/>
      <c r="V32" s="19">
        <f t="shared" si="10"/>
        <v>0</v>
      </c>
      <c r="W32" s="2"/>
      <c r="X32" s="2">
        <f t="shared" si="11"/>
        <v>0</v>
      </c>
      <c r="Y32" s="2"/>
      <c r="Z32" s="19">
        <f t="shared" si="12"/>
        <v>0</v>
      </c>
    </row>
    <row r="33" spans="1:26" s="24" customFormat="1" hidden="1" outlineLevel="1" x14ac:dyDescent="0.25">
      <c r="A33" s="44"/>
      <c r="B33" s="11" t="str">
        <f>CONCATENATE("          ", "5043", " - ", "PURCHASES @ COST-CARDS")</f>
        <v xml:space="preserve">          5043 - PURCHASES @ COST-CARDS</v>
      </c>
      <c r="C33" s="11"/>
      <c r="D33" s="2"/>
      <c r="E33" s="2"/>
      <c r="F33" s="19">
        <f t="shared" si="5"/>
        <v>0</v>
      </c>
      <c r="G33" s="2"/>
      <c r="H33" s="2"/>
      <c r="I33" s="2"/>
      <c r="J33" s="19">
        <f t="shared" si="6"/>
        <v>0</v>
      </c>
      <c r="K33" s="2"/>
      <c r="L33" s="2">
        <f t="shared" si="7"/>
        <v>0</v>
      </c>
      <c r="M33" s="2"/>
      <c r="N33" s="19">
        <f t="shared" si="8"/>
        <v>0</v>
      </c>
      <c r="O33" s="11"/>
      <c r="P33" s="2">
        <v>0</v>
      </c>
      <c r="Q33" s="2"/>
      <c r="R33" s="19">
        <f t="shared" si="9"/>
        <v>0</v>
      </c>
      <c r="S33" s="2"/>
      <c r="T33" s="2"/>
      <c r="U33" s="2"/>
      <c r="V33" s="19">
        <f t="shared" si="10"/>
        <v>0</v>
      </c>
      <c r="W33" s="2"/>
      <c r="X33" s="2">
        <f t="shared" si="11"/>
        <v>0</v>
      </c>
      <c r="Y33" s="2"/>
      <c r="Z33" s="19">
        <f t="shared" si="12"/>
        <v>0</v>
      </c>
    </row>
    <row r="34" spans="1:26" s="24" customFormat="1" hidden="1" outlineLevel="1" x14ac:dyDescent="0.25">
      <c r="A34" s="44"/>
      <c r="B34" s="11" t="str">
        <f>CONCATENATE("          ", "5044", " - ", "PURCHASES @ COST-ACCESSORIES")</f>
        <v xml:space="preserve">          5044 - PURCHASES @ COST-ACCESSORIES</v>
      </c>
      <c r="C34" s="11"/>
      <c r="D34" s="2"/>
      <c r="E34" s="2"/>
      <c r="F34" s="19">
        <f t="shared" si="5"/>
        <v>0</v>
      </c>
      <c r="G34" s="2"/>
      <c r="H34" s="2"/>
      <c r="I34" s="2"/>
      <c r="J34" s="19">
        <f t="shared" si="6"/>
        <v>0</v>
      </c>
      <c r="K34" s="2"/>
      <c r="L34" s="2">
        <f t="shared" si="7"/>
        <v>0</v>
      </c>
      <c r="M34" s="2"/>
      <c r="N34" s="19">
        <f t="shared" si="8"/>
        <v>0</v>
      </c>
      <c r="O34" s="11"/>
      <c r="P34" s="2">
        <v>0</v>
      </c>
      <c r="Q34" s="2"/>
      <c r="R34" s="19">
        <f t="shared" si="9"/>
        <v>0</v>
      </c>
      <c r="S34" s="2"/>
      <c r="T34" s="2"/>
      <c r="U34" s="2"/>
      <c r="V34" s="19">
        <f t="shared" si="10"/>
        <v>0</v>
      </c>
      <c r="W34" s="2"/>
      <c r="X34" s="2">
        <f t="shared" si="11"/>
        <v>0</v>
      </c>
      <c r="Y34" s="2"/>
      <c r="Z34" s="19">
        <f t="shared" si="12"/>
        <v>0</v>
      </c>
    </row>
    <row r="35" spans="1:26" s="24" customFormat="1" hidden="1" outlineLevel="1" x14ac:dyDescent="0.25">
      <c r="A35" s="44"/>
      <c r="B35" s="11" t="str">
        <f>CONCATENATE("          ", "5045", " - ", "PURCHASES @ COST-SPECIAL ORDER")</f>
        <v xml:space="preserve">          5045 - PURCHASES @ COST-SPECIAL ORDER</v>
      </c>
      <c r="C35" s="11"/>
      <c r="D35" s="2"/>
      <c r="E35" s="2"/>
      <c r="F35" s="19">
        <f t="shared" si="5"/>
        <v>0</v>
      </c>
      <c r="G35" s="2"/>
      <c r="H35" s="2"/>
      <c r="I35" s="2"/>
      <c r="J35" s="19">
        <f t="shared" si="6"/>
        <v>0</v>
      </c>
      <c r="K35" s="2"/>
      <c r="L35" s="2">
        <f t="shared" si="7"/>
        <v>0</v>
      </c>
      <c r="M35" s="2"/>
      <c r="N35" s="19">
        <f t="shared" si="8"/>
        <v>0</v>
      </c>
      <c r="O35" s="11"/>
      <c r="P35" s="2">
        <v>0</v>
      </c>
      <c r="Q35" s="2"/>
      <c r="R35" s="19">
        <f t="shared" si="9"/>
        <v>0</v>
      </c>
      <c r="S35" s="2"/>
      <c r="T35" s="2"/>
      <c r="U35" s="2"/>
      <c r="V35" s="19">
        <f t="shared" si="10"/>
        <v>0</v>
      </c>
      <c r="W35" s="2"/>
      <c r="X35" s="2">
        <f t="shared" si="11"/>
        <v>0</v>
      </c>
      <c r="Y35" s="2"/>
      <c r="Z35" s="19">
        <f t="shared" si="12"/>
        <v>0</v>
      </c>
    </row>
    <row r="36" spans="1:26" s="24" customFormat="1" hidden="1" outlineLevel="1" x14ac:dyDescent="0.25">
      <c r="A36" s="44"/>
      <c r="B36" s="11" t="str">
        <f>CONCATENATE("          ", "5081", " - ", "PURCHASES @ COST-ELECTRONICS")</f>
        <v xml:space="preserve">          5081 - PURCHASES @ COST-ELECTRONICS</v>
      </c>
      <c r="C36" s="11"/>
      <c r="D36" s="2"/>
      <c r="E36" s="2"/>
      <c r="F36" s="19">
        <f t="shared" si="5"/>
        <v>0</v>
      </c>
      <c r="G36" s="2"/>
      <c r="H36" s="2"/>
      <c r="I36" s="2"/>
      <c r="J36" s="19">
        <f t="shared" si="6"/>
        <v>0</v>
      </c>
      <c r="K36" s="2"/>
      <c r="L36" s="2">
        <f t="shared" si="7"/>
        <v>0</v>
      </c>
      <c r="M36" s="2"/>
      <c r="N36" s="19">
        <f t="shared" si="8"/>
        <v>0</v>
      </c>
      <c r="O36" s="11"/>
      <c r="P36" s="2">
        <v>0</v>
      </c>
      <c r="Q36" s="2"/>
      <c r="R36" s="19">
        <f t="shared" si="9"/>
        <v>0</v>
      </c>
      <c r="S36" s="2"/>
      <c r="T36" s="2"/>
      <c r="U36" s="2"/>
      <c r="V36" s="19">
        <f t="shared" si="10"/>
        <v>0</v>
      </c>
      <c r="W36" s="2"/>
      <c r="X36" s="2">
        <f t="shared" si="11"/>
        <v>0</v>
      </c>
      <c r="Y36" s="2"/>
      <c r="Z36" s="19">
        <f t="shared" si="12"/>
        <v>0</v>
      </c>
    </row>
    <row r="37" spans="1:26" s="24" customFormat="1" hidden="1" outlineLevel="1" x14ac:dyDescent="0.25">
      <c r="A37" s="44"/>
      <c r="B37" s="11" t="str">
        <f>CONCATENATE("          ", "5082", " - ", "PURCHASES @ COST-COMPUTER HARD")</f>
        <v xml:space="preserve">          5082 - PURCHASES @ COST-COMPUTER HARD</v>
      </c>
      <c r="C37" s="11"/>
      <c r="D37" s="2">
        <v>-20540.88</v>
      </c>
      <c r="E37" s="2"/>
      <c r="F37" s="19">
        <f t="shared" si="5"/>
        <v>-3.032027152927879E-2</v>
      </c>
      <c r="G37" s="2"/>
      <c r="H37" s="2"/>
      <c r="I37" s="2"/>
      <c r="J37" s="19">
        <f t="shared" si="6"/>
        <v>0</v>
      </c>
      <c r="K37" s="2"/>
      <c r="L37" s="2">
        <f t="shared" si="7"/>
        <v>-20540.88</v>
      </c>
      <c r="M37" s="2"/>
      <c r="N37" s="19">
        <f t="shared" si="8"/>
        <v>0</v>
      </c>
      <c r="O37" s="11"/>
      <c r="P37" s="2">
        <v>-77324.73</v>
      </c>
      <c r="Q37" s="2"/>
      <c r="R37" s="19">
        <f t="shared" si="9"/>
        <v>-2.1427019367083789E-2</v>
      </c>
      <c r="S37" s="2"/>
      <c r="T37" s="2"/>
      <c r="U37" s="2"/>
      <c r="V37" s="19">
        <f t="shared" si="10"/>
        <v>0</v>
      </c>
      <c r="W37" s="2"/>
      <c r="X37" s="2">
        <f t="shared" si="11"/>
        <v>-77324.73</v>
      </c>
      <c r="Y37" s="2"/>
      <c r="Z37" s="19">
        <f t="shared" si="12"/>
        <v>0</v>
      </c>
    </row>
    <row r="38" spans="1:26" s="24" customFormat="1" hidden="1" outlineLevel="1" x14ac:dyDescent="0.25">
      <c r="A38" s="44"/>
      <c r="B38" s="11" t="str">
        <f>CONCATENATE("          ", "5083", " - ", "PURCHASES @ COST-COMPUTER EQUI")</f>
        <v xml:space="preserve">          5083 - PURCHASES @ COST-COMPUTER EQUI</v>
      </c>
      <c r="C38" s="11"/>
      <c r="D38" s="2"/>
      <c r="E38" s="2"/>
      <c r="F38" s="19">
        <f t="shared" si="5"/>
        <v>0</v>
      </c>
      <c r="G38" s="2"/>
      <c r="H38" s="2"/>
      <c r="I38" s="2"/>
      <c r="J38" s="19">
        <f t="shared" si="6"/>
        <v>0</v>
      </c>
      <c r="K38" s="2"/>
      <c r="L38" s="2">
        <f t="shared" si="7"/>
        <v>0</v>
      </c>
      <c r="M38" s="2"/>
      <c r="N38" s="19">
        <f t="shared" si="8"/>
        <v>0</v>
      </c>
      <c r="O38" s="11"/>
      <c r="P38" s="2">
        <v>0</v>
      </c>
      <c r="Q38" s="2"/>
      <c r="R38" s="19">
        <f t="shared" si="9"/>
        <v>0</v>
      </c>
      <c r="S38" s="2"/>
      <c r="T38" s="2"/>
      <c r="U38" s="2"/>
      <c r="V38" s="19">
        <f t="shared" si="10"/>
        <v>0</v>
      </c>
      <c r="W38" s="2"/>
      <c r="X38" s="2">
        <f t="shared" si="11"/>
        <v>0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"5085", " - ", "PURCHASES @ COST-SOFTWARE")</f>
        <v xml:space="preserve">          5085 - PURCHASES @ COST-SOFTWARE</v>
      </c>
      <c r="C39" s="11"/>
      <c r="D39" s="2"/>
      <c r="E39" s="2"/>
      <c r="F39" s="19">
        <f t="shared" si="5"/>
        <v>0</v>
      </c>
      <c r="G39" s="2"/>
      <c r="H39" s="2"/>
      <c r="I39" s="2"/>
      <c r="J39" s="19">
        <f t="shared" si="6"/>
        <v>0</v>
      </c>
      <c r="K39" s="2"/>
      <c r="L39" s="2">
        <f t="shared" si="7"/>
        <v>0</v>
      </c>
      <c r="M39" s="2"/>
      <c r="N39" s="19">
        <f t="shared" si="8"/>
        <v>0</v>
      </c>
      <c r="O39" s="11"/>
      <c r="P39" s="2">
        <v>0</v>
      </c>
      <c r="Q39" s="2"/>
      <c r="R39" s="19">
        <f t="shared" si="9"/>
        <v>0</v>
      </c>
      <c r="S39" s="2"/>
      <c r="T39" s="2"/>
      <c r="U39" s="2"/>
      <c r="V39" s="19">
        <f t="shared" si="10"/>
        <v>0</v>
      </c>
      <c r="W39" s="2"/>
      <c r="X39" s="2">
        <f t="shared" si="11"/>
        <v>0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"5086", " - ", "PURCHASES @ COST-COMPUTER SUPP")</f>
        <v xml:space="preserve">          5086 - PURCHASES @ COST-COMPUTER SUPP</v>
      </c>
      <c r="C40" s="11"/>
      <c r="D40" s="2"/>
      <c r="E40" s="2"/>
      <c r="F40" s="19">
        <f t="shared" si="5"/>
        <v>0</v>
      </c>
      <c r="G40" s="2"/>
      <c r="H40" s="2"/>
      <c r="I40" s="2"/>
      <c r="J40" s="19">
        <f t="shared" si="6"/>
        <v>0</v>
      </c>
      <c r="K40" s="2"/>
      <c r="L40" s="2">
        <f t="shared" si="7"/>
        <v>0</v>
      </c>
      <c r="M40" s="2"/>
      <c r="N40" s="19">
        <f t="shared" si="8"/>
        <v>0</v>
      </c>
      <c r="O40" s="11"/>
      <c r="P40" s="2">
        <v>0</v>
      </c>
      <c r="Q40" s="2"/>
      <c r="R40" s="19">
        <f t="shared" si="9"/>
        <v>0</v>
      </c>
      <c r="S40" s="2"/>
      <c r="T40" s="2"/>
      <c r="U40" s="2"/>
      <c r="V40" s="19">
        <f t="shared" si="10"/>
        <v>0</v>
      </c>
      <c r="W40" s="2"/>
      <c r="X40" s="2">
        <f t="shared" si="11"/>
        <v>0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"5200", " - ", "PURCHASES OFFSET")</f>
        <v xml:space="preserve">          5200 - PURCHASES OFFSET</v>
      </c>
      <c r="C41" s="11"/>
      <c r="D41" s="2">
        <v>-899387.86</v>
      </c>
      <c r="E41" s="2"/>
      <c r="F41" s="19">
        <f t="shared" si="5"/>
        <v>-1.3275811029194939</v>
      </c>
      <c r="G41" s="2"/>
      <c r="H41" s="2"/>
      <c r="I41" s="2"/>
      <c r="J41" s="19">
        <f t="shared" si="6"/>
        <v>0</v>
      </c>
      <c r="K41" s="2"/>
      <c r="L41" s="2">
        <f t="shared" si="7"/>
        <v>-899387.86</v>
      </c>
      <c r="M41" s="2"/>
      <c r="N41" s="19">
        <f t="shared" si="8"/>
        <v>0</v>
      </c>
      <c r="O41" s="11"/>
      <c r="P41" s="2">
        <v>-2799251.37</v>
      </c>
      <c r="Q41" s="2"/>
      <c r="R41" s="19">
        <f t="shared" si="9"/>
        <v>-0.77568474300945933</v>
      </c>
      <c r="S41" s="2"/>
      <c r="T41" s="2"/>
      <c r="U41" s="2"/>
      <c r="V41" s="19">
        <f t="shared" si="10"/>
        <v>0</v>
      </c>
      <c r="W41" s="2"/>
      <c r="X41" s="2">
        <f t="shared" si="11"/>
        <v>-2799251.37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"5300", " - ", "COG$ OFFSET")</f>
        <v xml:space="preserve">          5300 - COG$ OFFSET</v>
      </c>
      <c r="C42" s="11"/>
      <c r="D42" s="2">
        <v>457087.53</v>
      </c>
      <c r="E42" s="2"/>
      <c r="F42" s="19">
        <f t="shared" si="5"/>
        <v>0.67470420070840997</v>
      </c>
      <c r="G42" s="2"/>
      <c r="H42" s="2"/>
      <c r="I42" s="2"/>
      <c r="J42" s="19">
        <f t="shared" si="6"/>
        <v>0</v>
      </c>
      <c r="K42" s="2"/>
      <c r="L42" s="2">
        <f t="shared" si="7"/>
        <v>457087.53</v>
      </c>
      <c r="M42" s="2"/>
      <c r="N42" s="19">
        <f t="shared" si="8"/>
        <v>0</v>
      </c>
      <c r="O42" s="11"/>
      <c r="P42" s="2">
        <v>2259391.88</v>
      </c>
      <c r="Q42" s="2"/>
      <c r="R42" s="19">
        <f t="shared" si="9"/>
        <v>0.62608732769699749</v>
      </c>
      <c r="S42" s="2"/>
      <c r="T42" s="2"/>
      <c r="U42" s="2"/>
      <c r="V42" s="19">
        <f t="shared" si="10"/>
        <v>0</v>
      </c>
      <c r="W42" s="2"/>
      <c r="X42" s="2">
        <f t="shared" si="11"/>
        <v>2259391.88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"5500", " - ", "FREIGHT-IN")</f>
        <v xml:space="preserve">          5500 - FREIGHT-IN</v>
      </c>
      <c r="C43" s="11"/>
      <c r="D43" s="2">
        <v>22303.71</v>
      </c>
      <c r="E43" s="2"/>
      <c r="F43" s="19">
        <f t="shared" si="5"/>
        <v>3.2922374470338689E-2</v>
      </c>
      <c r="G43" s="2"/>
      <c r="H43" s="2"/>
      <c r="I43" s="2"/>
      <c r="J43" s="19">
        <f t="shared" si="6"/>
        <v>0</v>
      </c>
      <c r="K43" s="2"/>
      <c r="L43" s="2">
        <f t="shared" si="7"/>
        <v>22303.71</v>
      </c>
      <c r="M43" s="2"/>
      <c r="N43" s="19">
        <f t="shared" si="8"/>
        <v>0</v>
      </c>
      <c r="O43" s="11"/>
      <c r="P43" s="2">
        <v>49680.15</v>
      </c>
      <c r="Q43" s="2"/>
      <c r="R43" s="19">
        <f t="shared" si="9"/>
        <v>1.3766585880217463E-2</v>
      </c>
      <c r="S43" s="2"/>
      <c r="T43" s="2"/>
      <c r="U43" s="2"/>
      <c r="V43" s="19">
        <f t="shared" si="10"/>
        <v>0</v>
      </c>
      <c r="W43" s="2"/>
      <c r="X43" s="2">
        <f t="shared" si="11"/>
        <v>49680.15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"5501", " - ", "FREIGHT-IN-NEW TEXT")</f>
        <v xml:space="preserve">          5501 - FREIGHT-IN-NEW TEXT</v>
      </c>
      <c r="C44" s="11"/>
      <c r="D44" s="2">
        <v>0</v>
      </c>
      <c r="E44" s="2"/>
      <c r="F44" s="19">
        <f t="shared" si="5"/>
        <v>0</v>
      </c>
      <c r="G44" s="2"/>
      <c r="H44" s="2"/>
      <c r="I44" s="2"/>
      <c r="J44" s="19">
        <f t="shared" si="6"/>
        <v>0</v>
      </c>
      <c r="K44" s="2"/>
      <c r="L44" s="2">
        <f t="shared" si="7"/>
        <v>0</v>
      </c>
      <c r="M44" s="2"/>
      <c r="N44" s="19">
        <f t="shared" si="8"/>
        <v>0</v>
      </c>
      <c r="O44" s="11"/>
      <c r="P44" s="2">
        <v>0</v>
      </c>
      <c r="Q44" s="2"/>
      <c r="R44" s="19">
        <f t="shared" si="9"/>
        <v>0</v>
      </c>
      <c r="S44" s="2"/>
      <c r="T44" s="2"/>
      <c r="U44" s="2"/>
      <c r="V44" s="19">
        <f t="shared" si="10"/>
        <v>0</v>
      </c>
      <c r="W44" s="2"/>
      <c r="X44" s="2">
        <f t="shared" si="11"/>
        <v>0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"5502", " - ", "FREIGHT-IN-USED TEXT")</f>
        <v xml:space="preserve">          5502 - FREIGHT-IN-USED TEXT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0</v>
      </c>
      <c r="Q45" s="2"/>
      <c r="R45" s="19">
        <f t="shared" si="9"/>
        <v>0</v>
      </c>
      <c r="S45" s="2"/>
      <c r="T45" s="2"/>
      <c r="U45" s="2"/>
      <c r="V45" s="19">
        <f t="shared" si="10"/>
        <v>0</v>
      </c>
      <c r="W45" s="2"/>
      <c r="X45" s="2">
        <f t="shared" si="11"/>
        <v>0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"5518", " - ", "FREIGHT-IN-STUDY GUIDES")</f>
        <v xml:space="preserve">          5518 - FREIGHT-IN-STUDY GUIDES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0</v>
      </c>
      <c r="Q46" s="2"/>
      <c r="R46" s="19">
        <f t="shared" si="9"/>
        <v>0</v>
      </c>
      <c r="S46" s="2"/>
      <c r="T46" s="2"/>
      <c r="U46" s="2"/>
      <c r="V46" s="19">
        <f t="shared" si="10"/>
        <v>0</v>
      </c>
      <c r="W46" s="2"/>
      <c r="X46" s="2">
        <f t="shared" si="11"/>
        <v>0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"5527", " - ", "FREIGHT-IN-SCHOOL SUPPLIES")</f>
        <v xml:space="preserve">          5527 - FREIGHT-IN-SCHOOL SUPPLIES</v>
      </c>
      <c r="C47" s="11"/>
      <c r="D47" s="2"/>
      <c r="E47" s="2"/>
      <c r="F47" s="19">
        <f t="shared" si="5"/>
        <v>0</v>
      </c>
      <c r="G47" s="2"/>
      <c r="H47" s="2"/>
      <c r="I47" s="2"/>
      <c r="J47" s="19">
        <f t="shared" si="6"/>
        <v>0</v>
      </c>
      <c r="K47" s="2"/>
      <c r="L47" s="2">
        <f t="shared" si="7"/>
        <v>0</v>
      </c>
      <c r="M47" s="2"/>
      <c r="N47" s="19">
        <f t="shared" si="8"/>
        <v>0</v>
      </c>
      <c r="O47" s="11"/>
      <c r="P47" s="2">
        <v>0</v>
      </c>
      <c r="Q47" s="2"/>
      <c r="R47" s="19">
        <f t="shared" si="9"/>
        <v>0</v>
      </c>
      <c r="S47" s="2"/>
      <c r="T47" s="2"/>
      <c r="U47" s="2"/>
      <c r="V47" s="19">
        <f t="shared" si="10"/>
        <v>0</v>
      </c>
      <c r="W47" s="2"/>
      <c r="X47" s="2">
        <f t="shared" si="11"/>
        <v>0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"5528", " - ", "FREIGHT-IN-ART/TECH")</f>
        <v xml:space="preserve">          5528 - FREIGHT-IN-ART/TECH</v>
      </c>
      <c r="C48" s="11"/>
      <c r="D48" s="2"/>
      <c r="E48" s="2"/>
      <c r="F48" s="19">
        <f t="shared" si="5"/>
        <v>0</v>
      </c>
      <c r="G48" s="2"/>
      <c r="H48" s="2"/>
      <c r="I48" s="2"/>
      <c r="J48" s="19">
        <f t="shared" si="6"/>
        <v>0</v>
      </c>
      <c r="K48" s="2"/>
      <c r="L48" s="2">
        <f t="shared" si="7"/>
        <v>0</v>
      </c>
      <c r="M48" s="2"/>
      <c r="N48" s="19">
        <f t="shared" si="8"/>
        <v>0</v>
      </c>
      <c r="O48" s="11"/>
      <c r="P48" s="2">
        <v>0</v>
      </c>
      <c r="Q48" s="2"/>
      <c r="R48" s="19">
        <f t="shared" si="9"/>
        <v>0</v>
      </c>
      <c r="S48" s="2"/>
      <c r="T48" s="2"/>
      <c r="U48" s="2"/>
      <c r="V48" s="19">
        <f t="shared" si="10"/>
        <v>0</v>
      </c>
      <c r="W48" s="2"/>
      <c r="X48" s="2">
        <f t="shared" si="11"/>
        <v>0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"5540", " - ", "FREIGHT-IN-LOGO CLOTHING")</f>
        <v xml:space="preserve">          5540 - FREIGHT-IN-LOGO CLOTHING</v>
      </c>
      <c r="C49" s="11"/>
      <c r="D49" s="2"/>
      <c r="E49" s="2"/>
      <c r="F49" s="19">
        <f t="shared" si="5"/>
        <v>0</v>
      </c>
      <c r="G49" s="2"/>
      <c r="H49" s="2"/>
      <c r="I49" s="2"/>
      <c r="J49" s="19">
        <f t="shared" si="6"/>
        <v>0</v>
      </c>
      <c r="K49" s="2"/>
      <c r="L49" s="2">
        <f t="shared" si="7"/>
        <v>0</v>
      </c>
      <c r="M49" s="2"/>
      <c r="N49" s="19">
        <f t="shared" si="8"/>
        <v>0</v>
      </c>
      <c r="O49" s="11"/>
      <c r="P49" s="2">
        <v>0</v>
      </c>
      <c r="Q49" s="2"/>
      <c r="R49" s="19">
        <f t="shared" si="9"/>
        <v>0</v>
      </c>
      <c r="S49" s="2"/>
      <c r="T49" s="2"/>
      <c r="U49" s="2"/>
      <c r="V49" s="19">
        <f t="shared" si="10"/>
        <v>0</v>
      </c>
      <c r="W49" s="2"/>
      <c r="X49" s="2">
        <f t="shared" si="11"/>
        <v>0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"5541", " - ", "FREIGHT-IN-LOGO GIFTS")</f>
        <v xml:space="preserve">          5541 - FREIGHT-IN-LOGO GIFTS</v>
      </c>
      <c r="C50" s="11"/>
      <c r="D50" s="2"/>
      <c r="E50" s="2"/>
      <c r="F50" s="19">
        <f t="shared" si="5"/>
        <v>0</v>
      </c>
      <c r="G50" s="2"/>
      <c r="H50" s="2"/>
      <c r="I50" s="2"/>
      <c r="J50" s="19">
        <f t="shared" si="6"/>
        <v>0</v>
      </c>
      <c r="K50" s="2"/>
      <c r="L50" s="2">
        <f t="shared" si="7"/>
        <v>0</v>
      </c>
      <c r="M50" s="2"/>
      <c r="N50" s="19">
        <f t="shared" si="8"/>
        <v>0</v>
      </c>
      <c r="O50" s="11"/>
      <c r="P50" s="2">
        <v>0</v>
      </c>
      <c r="Q50" s="2"/>
      <c r="R50" s="19">
        <f t="shared" si="9"/>
        <v>0</v>
      </c>
      <c r="S50" s="2"/>
      <c r="T50" s="2"/>
      <c r="U50" s="2"/>
      <c r="V50" s="19">
        <f t="shared" si="10"/>
        <v>0</v>
      </c>
      <c r="W50" s="2"/>
      <c r="X50" s="2">
        <f t="shared" si="11"/>
        <v>0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"5542", " - ", "FREIGHT-IN-EVERYDAY GIFTS")</f>
        <v xml:space="preserve">          5542 - FREIGHT-IN-EVERYDAY GIFTS</v>
      </c>
      <c r="C51" s="11"/>
      <c r="D51" s="2"/>
      <c r="E51" s="2"/>
      <c r="F51" s="19">
        <f t="shared" si="5"/>
        <v>0</v>
      </c>
      <c r="G51" s="2"/>
      <c r="H51" s="2"/>
      <c r="I51" s="2"/>
      <c r="J51" s="19">
        <f t="shared" si="6"/>
        <v>0</v>
      </c>
      <c r="K51" s="2"/>
      <c r="L51" s="2">
        <f t="shared" si="7"/>
        <v>0</v>
      </c>
      <c r="M51" s="2"/>
      <c r="N51" s="19">
        <f t="shared" si="8"/>
        <v>0</v>
      </c>
      <c r="O51" s="11"/>
      <c r="P51" s="2">
        <v>0</v>
      </c>
      <c r="Q51" s="2"/>
      <c r="R51" s="19">
        <f t="shared" si="9"/>
        <v>0</v>
      </c>
      <c r="S51" s="2"/>
      <c r="T51" s="2"/>
      <c r="U51" s="2"/>
      <c r="V51" s="19">
        <f t="shared" si="10"/>
        <v>0</v>
      </c>
      <c r="W51" s="2"/>
      <c r="X51" s="2">
        <f t="shared" si="11"/>
        <v>0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"5544", " - ", "FREIGHT-IN-ACCESSORIES")</f>
        <v xml:space="preserve">          5544 - FREIGHT-IN-ACCESSORIES</v>
      </c>
      <c r="C52" s="11"/>
      <c r="D52" s="2"/>
      <c r="E52" s="2"/>
      <c r="F52" s="19">
        <f t="shared" si="5"/>
        <v>0</v>
      </c>
      <c r="G52" s="2"/>
      <c r="H52" s="2"/>
      <c r="I52" s="2"/>
      <c r="J52" s="19">
        <f t="shared" si="6"/>
        <v>0</v>
      </c>
      <c r="K52" s="2"/>
      <c r="L52" s="2">
        <f t="shared" si="7"/>
        <v>0</v>
      </c>
      <c r="M52" s="2"/>
      <c r="N52" s="19">
        <f t="shared" si="8"/>
        <v>0</v>
      </c>
      <c r="O52" s="11"/>
      <c r="P52" s="2">
        <v>0</v>
      </c>
      <c r="Q52" s="2"/>
      <c r="R52" s="19">
        <f t="shared" si="9"/>
        <v>0</v>
      </c>
      <c r="S52" s="2"/>
      <c r="T52" s="2"/>
      <c r="U52" s="2"/>
      <c r="V52" s="19">
        <f t="shared" si="10"/>
        <v>0</v>
      </c>
      <c r="W52" s="2"/>
      <c r="X52" s="2">
        <f t="shared" si="11"/>
        <v>0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"5545", " - ", "FREIGHT-IN-SPECIAL ORDERS")</f>
        <v xml:space="preserve">          5545 - FREIGHT-IN-SPECIAL ORDERS</v>
      </c>
      <c r="C53" s="11"/>
      <c r="D53" s="2"/>
      <c r="E53" s="2"/>
      <c r="F53" s="19">
        <f t="shared" si="5"/>
        <v>0</v>
      </c>
      <c r="G53" s="2"/>
      <c r="H53" s="2"/>
      <c r="I53" s="2"/>
      <c r="J53" s="19">
        <f t="shared" si="6"/>
        <v>0</v>
      </c>
      <c r="K53" s="2"/>
      <c r="L53" s="2">
        <f t="shared" si="7"/>
        <v>0</v>
      </c>
      <c r="M53" s="2"/>
      <c r="N53" s="19">
        <f t="shared" si="8"/>
        <v>0</v>
      </c>
      <c r="O53" s="11"/>
      <c r="P53" s="2">
        <v>0</v>
      </c>
      <c r="Q53" s="2"/>
      <c r="R53" s="19">
        <f t="shared" si="9"/>
        <v>0</v>
      </c>
      <c r="S53" s="2"/>
      <c r="T53" s="2"/>
      <c r="U53" s="2"/>
      <c r="V53" s="19">
        <f t="shared" si="10"/>
        <v>0</v>
      </c>
      <c r="W53" s="2"/>
      <c r="X53" s="2">
        <f t="shared" si="11"/>
        <v>0</v>
      </c>
      <c r="Y53" s="2"/>
      <c r="Z53" s="19">
        <f t="shared" si="12"/>
        <v>0</v>
      </c>
    </row>
    <row r="54" spans="1:26" s="24" customFormat="1" hidden="1" outlineLevel="1" x14ac:dyDescent="0.25">
      <c r="A54" s="44"/>
      <c r="B54" s="11" t="str">
        <f>CONCATENATE("          ", "5583", " - ", "FREIGHT-IN-COMPUTER EQUIPMENT")</f>
        <v xml:space="preserve">          5583 - FREIGHT-IN-COMPUTER EQUIPMENT</v>
      </c>
      <c r="C54" s="11"/>
      <c r="D54" s="2"/>
      <c r="E54" s="2"/>
      <c r="F54" s="19">
        <f t="shared" si="5"/>
        <v>0</v>
      </c>
      <c r="G54" s="2"/>
      <c r="H54" s="2"/>
      <c r="I54" s="2"/>
      <c r="J54" s="19">
        <f t="shared" si="6"/>
        <v>0</v>
      </c>
      <c r="K54" s="2"/>
      <c r="L54" s="2">
        <f t="shared" si="7"/>
        <v>0</v>
      </c>
      <c r="M54" s="2"/>
      <c r="N54" s="19">
        <f t="shared" si="8"/>
        <v>0</v>
      </c>
      <c r="O54" s="11"/>
      <c r="P54" s="2">
        <v>0</v>
      </c>
      <c r="Q54" s="2"/>
      <c r="R54" s="19">
        <f t="shared" si="9"/>
        <v>0</v>
      </c>
      <c r="S54" s="2"/>
      <c r="T54" s="2"/>
      <c r="U54" s="2"/>
      <c r="V54" s="19">
        <f t="shared" si="10"/>
        <v>0</v>
      </c>
      <c r="W54" s="2"/>
      <c r="X54" s="2">
        <f t="shared" si="11"/>
        <v>0</v>
      </c>
      <c r="Y54" s="2"/>
      <c r="Z54" s="19">
        <f t="shared" si="12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6" t="s">
        <v>108</v>
      </c>
      <c r="C56" s="26"/>
      <c r="D56" s="21">
        <f>D12-D21</f>
        <v>238472.60000000003</v>
      </c>
      <c r="E56" s="13"/>
      <c r="F56" s="20">
        <f>IF(D$12=0,0,D56/D$12)</f>
        <v>0.35200799499793045</v>
      </c>
      <c r="G56" s="13"/>
      <c r="H56" s="21">
        <f>H12-H21</f>
        <v>205374</v>
      </c>
      <c r="I56" s="13"/>
      <c r="J56" s="20">
        <f>IF(H$12=0,0,H56/H$12)</f>
        <v>0.41721228717752862</v>
      </c>
      <c r="K56" s="15"/>
      <c r="L56" s="21">
        <f>+D56-H56</f>
        <v>33098.600000000035</v>
      </c>
      <c r="M56" s="15"/>
      <c r="N56" s="20">
        <f>IF(H56=0,0,L56/H56)</f>
        <v>0.16116256196013146</v>
      </c>
      <c r="O56" s="25"/>
      <c r="P56" s="21">
        <f>P12-P21</f>
        <v>1173263.5400000005</v>
      </c>
      <c r="Q56" s="13"/>
      <c r="R56" s="20">
        <f>IF(P$12=0,0,P56/P$12)</f>
        <v>0.3251164355087085</v>
      </c>
      <c r="S56" s="13"/>
      <c r="T56" s="21">
        <f>T12-T21</f>
        <v>1627957</v>
      </c>
      <c r="U56" s="13"/>
      <c r="V56" s="20">
        <f>IF(T$12=0,0,T56/T$12)</f>
        <v>0.30853075969936028</v>
      </c>
      <c r="W56" s="15"/>
      <c r="X56" s="21">
        <f>+P56-T56</f>
        <v>-454693.4599999995</v>
      </c>
      <c r="Y56" s="15"/>
      <c r="Z56" s="20">
        <f>IF(T56=0,0,X56/T56)</f>
        <v>-0.27930311427144544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5" t="s">
        <v>295</v>
      </c>
      <c r="C58" s="10"/>
      <c r="D58" s="22">
        <f>SUM(OSRRefD22x_0)</f>
        <v>347091.70000000007</v>
      </c>
      <c r="E58" s="22"/>
      <c r="F58" s="34">
        <f t="shared" ref="F58:F69" si="13">IF(D$12=0,0,D58/D$12)</f>
        <v>0.51234000634631893</v>
      </c>
      <c r="G58" s="22"/>
      <c r="H58" s="22">
        <f>SUM(OSRRefH22x_0)</f>
        <v>387334.42766184389</v>
      </c>
      <c r="I58" s="22"/>
      <c r="J58" s="34">
        <f t="shared" ref="J58:J69" si="14">IF(H$12=0,0,H58/H$12)</f>
        <v>0.78686047146862259</v>
      </c>
      <c r="K58" s="4"/>
      <c r="L58" s="22">
        <f t="shared" ref="L58:L69" si="15">+D58-H58</f>
        <v>-40242.727661843819</v>
      </c>
      <c r="M58" s="4"/>
      <c r="N58" s="34">
        <f t="shared" ref="N58:N69" si="16">IF(H58=0,0,L58/H58)</f>
        <v>-0.10389659371300991</v>
      </c>
      <c r="O58" s="10"/>
      <c r="P58" s="22">
        <f>SUM(OSRRefP22x_0)</f>
        <v>1385478.74</v>
      </c>
      <c r="Q58" s="22"/>
      <c r="R58" s="34">
        <f t="shared" ref="R58:R69" si="17">IF(P$12=0,0,P58/P$12)</f>
        <v>0.38392219144719736</v>
      </c>
      <c r="S58" s="22"/>
      <c r="T58" s="22">
        <f>SUM(OSRRefT22x_0)</f>
        <v>1508152.6618178305</v>
      </c>
      <c r="U58" s="22"/>
      <c r="V58" s="34">
        <f t="shared" ref="V58:V69" si="18">IF(T$12=0,0,T58/T$12)</f>
        <v>0.28582541583915771</v>
      </c>
      <c r="W58" s="4"/>
      <c r="X58" s="22">
        <f t="shared" ref="X58:X69" si="19">+P58-T58</f>
        <v>-122673.92181783053</v>
      </c>
      <c r="Y58" s="4"/>
      <c r="Z58" s="34">
        <f t="shared" ref="Z58:Z69" si="20">IF(T58=0,0,X58/T58)</f>
        <v>-8.1340520043884187E-2</v>
      </c>
    </row>
    <row r="59" spans="1:26" s="28" customFormat="1" outlineLevel="1" collapsed="1" x14ac:dyDescent="0.25">
      <c r="A59" s="29"/>
      <c r="B59" s="14" t="str">
        <f>CONCATENATE("     ","*Benefits                                         ")</f>
        <v xml:space="preserve">     *Benefits                                         </v>
      </c>
      <c r="C59" s="14"/>
      <c r="D59" s="1">
        <f>SUM(OSRRefD22_0x_0)</f>
        <v>62132.15</v>
      </c>
      <c r="E59" s="1"/>
      <c r="F59" s="5">
        <f t="shared" si="13"/>
        <v>9.1712899286587476E-2</v>
      </c>
      <c r="G59" s="1"/>
      <c r="H59" s="1">
        <f>SUM(OSRRefH22_0x_0)</f>
        <v>52920.243119699677</v>
      </c>
      <c r="I59" s="1"/>
      <c r="J59" s="5">
        <f t="shared" si="14"/>
        <v>0.10750618710236337</v>
      </c>
      <c r="K59" s="1"/>
      <c r="L59" s="1">
        <f t="shared" si="15"/>
        <v>9211.9068803003247</v>
      </c>
      <c r="M59" s="1"/>
      <c r="N59" s="5">
        <f t="shared" si="16"/>
        <v>0.17407151474085297</v>
      </c>
      <c r="O59" s="14"/>
      <c r="P59" s="1">
        <f>SUM(OSRRefP22_0x_0)</f>
        <v>212404.48000000001</v>
      </c>
      <c r="Q59" s="1"/>
      <c r="R59" s="5">
        <f t="shared" si="17"/>
        <v>5.8858206250644023E-2</v>
      </c>
      <c r="S59" s="1"/>
      <c r="T59" s="1">
        <f>SUM(OSRRefT22_0x_0)</f>
        <v>216536.58842764981</v>
      </c>
      <c r="U59" s="1"/>
      <c r="V59" s="5">
        <f t="shared" si="18"/>
        <v>4.1038060667628509E-2</v>
      </c>
      <c r="W59" s="1"/>
      <c r="X59" s="1">
        <f t="shared" si="19"/>
        <v>-4132.1084276498004</v>
      </c>
      <c r="Y59" s="1"/>
      <c r="Z59" s="5">
        <f t="shared" si="20"/>
        <v>-1.9082726192624206E-2</v>
      </c>
    </row>
    <row r="60" spans="1:26" s="24" customFormat="1" hidden="1" outlineLevel="2" x14ac:dyDescent="0.25">
      <c r="A60" s="27"/>
      <c r="B60" s="11" t="str">
        <f>CONCATENATE("          ", "6111", " - ", "F.I.C.A.")</f>
        <v xml:space="preserve">          6111 - F.I.C.A.</v>
      </c>
      <c r="C60" s="11"/>
      <c r="D60" s="7">
        <v>11388.1</v>
      </c>
      <c r="E60" s="2"/>
      <c r="F60" s="6">
        <f t="shared" si="13"/>
        <v>1.6809907082976961E-2</v>
      </c>
      <c r="G60" s="2"/>
      <c r="H60" s="7">
        <v>11389.050075302601</v>
      </c>
      <c r="I60" s="2"/>
      <c r="J60" s="6">
        <f t="shared" si="14"/>
        <v>2.3136578294703336E-2</v>
      </c>
      <c r="K60" s="2"/>
      <c r="L60" s="7">
        <f t="shared" si="15"/>
        <v>-0.95007530260045314</v>
      </c>
      <c r="M60" s="2"/>
      <c r="N60" s="6">
        <f t="shared" si="16"/>
        <v>-8.3420065441692265E-5</v>
      </c>
      <c r="O60" s="11"/>
      <c r="P60" s="7">
        <v>42544.73</v>
      </c>
      <c r="Q60" s="2"/>
      <c r="R60" s="6">
        <f t="shared" si="17"/>
        <v>1.178932992947212E-2</v>
      </c>
      <c r="S60" s="2"/>
      <c r="T60" s="7">
        <v>45703.850631281697</v>
      </c>
      <c r="U60" s="2"/>
      <c r="V60" s="6">
        <f t="shared" si="18"/>
        <v>8.6618035712585952E-3</v>
      </c>
      <c r="W60" s="2"/>
      <c r="X60" s="7">
        <f t="shared" si="19"/>
        <v>-3159.1206312816939</v>
      </c>
      <c r="Y60" s="2"/>
      <c r="Z60" s="6">
        <f t="shared" si="20"/>
        <v>-6.9121542006779071E-2</v>
      </c>
    </row>
    <row r="61" spans="1:26" s="24" customFormat="1" hidden="1" outlineLevel="2" x14ac:dyDescent="0.25">
      <c r="A61" s="27"/>
      <c r="B61" s="11" t="str">
        <f>CONCATENATE("          ", "6112", " - ", "COMPENSATION INSURANCE")</f>
        <v xml:space="preserve">          6112 - COMPENSATION INSURANCE</v>
      </c>
      <c r="C61" s="11"/>
      <c r="D61" s="7">
        <v>3479.06</v>
      </c>
      <c r="E61" s="2"/>
      <c r="F61" s="6">
        <f t="shared" si="13"/>
        <v>5.1354198976213605E-3</v>
      </c>
      <c r="G61" s="2"/>
      <c r="H61" s="7">
        <v>2973.9545398499999</v>
      </c>
      <c r="I61" s="2"/>
      <c r="J61" s="6">
        <f t="shared" si="14"/>
        <v>6.0415163337755179E-3</v>
      </c>
      <c r="K61" s="2"/>
      <c r="L61" s="7">
        <f t="shared" si="15"/>
        <v>505.10546015</v>
      </c>
      <c r="M61" s="2"/>
      <c r="N61" s="6">
        <f t="shared" si="16"/>
        <v>0.16984303336912354</v>
      </c>
      <c r="O61" s="11"/>
      <c r="P61" s="7">
        <v>10903.58</v>
      </c>
      <c r="Q61" s="2"/>
      <c r="R61" s="6">
        <f t="shared" si="17"/>
        <v>3.0214294939089662E-3</v>
      </c>
      <c r="S61" s="2"/>
      <c r="T61" s="7">
        <v>12732.06884346</v>
      </c>
      <c r="U61" s="2"/>
      <c r="V61" s="6">
        <f t="shared" si="18"/>
        <v>2.4129844171665894E-3</v>
      </c>
      <c r="W61" s="2"/>
      <c r="X61" s="7">
        <f t="shared" si="19"/>
        <v>-1828.4888434599998</v>
      </c>
      <c r="Y61" s="2"/>
      <c r="Z61" s="6">
        <f t="shared" si="20"/>
        <v>-0.14361286181697233</v>
      </c>
    </row>
    <row r="62" spans="1:26" s="24" customFormat="1" hidden="1" outlineLevel="2" x14ac:dyDescent="0.25">
      <c r="A62" s="27"/>
      <c r="B62" s="11" t="str">
        <f>CONCATENATE("          ", "6113", " - ", "GROUP INSURANCE")</f>
        <v xml:space="preserve">          6113 - GROUP INSURANCE</v>
      </c>
      <c r="C62" s="11"/>
      <c r="D62" s="7">
        <v>19420.740000000002</v>
      </c>
      <c r="E62" s="2"/>
      <c r="F62" s="6">
        <f t="shared" si="13"/>
        <v>2.8666839497603111E-2</v>
      </c>
      <c r="G62" s="2"/>
      <c r="H62" s="7">
        <v>17880.6538461538</v>
      </c>
      <c r="I62" s="2"/>
      <c r="J62" s="6">
        <f t="shared" si="14"/>
        <v>3.632411350698482E-2</v>
      </c>
      <c r="K62" s="2"/>
      <c r="L62" s="7">
        <f t="shared" si="15"/>
        <v>1540.0861538462013</v>
      </c>
      <c r="M62" s="2"/>
      <c r="N62" s="6">
        <f t="shared" si="16"/>
        <v>8.6131422659215556E-2</v>
      </c>
      <c r="O62" s="11"/>
      <c r="P62" s="7">
        <v>74323.839999999997</v>
      </c>
      <c r="Q62" s="2"/>
      <c r="R62" s="6">
        <f t="shared" si="17"/>
        <v>2.0595459681734894E-2</v>
      </c>
      <c r="S62" s="2"/>
      <c r="T62" s="7">
        <v>74022.653846153902</v>
      </c>
      <c r="U62" s="2"/>
      <c r="V62" s="6">
        <f t="shared" si="18"/>
        <v>1.402878922853407E-2</v>
      </c>
      <c r="W62" s="2"/>
      <c r="X62" s="7">
        <f t="shared" si="19"/>
        <v>301.18615384609438</v>
      </c>
      <c r="Y62" s="2"/>
      <c r="Z62" s="6">
        <f t="shared" si="20"/>
        <v>4.0688375544069141E-3</v>
      </c>
    </row>
    <row r="63" spans="1:26" s="24" customFormat="1" hidden="1" outlineLevel="2" x14ac:dyDescent="0.25">
      <c r="A63" s="27"/>
      <c r="B63" s="11" t="str">
        <f>CONCATENATE("          ", "6114", " - ", "STATE UNEMPLOYMENT INSURANCE")</f>
        <v xml:space="preserve">          6114 - STATE UNEMPLOYMENT INSURANCE</v>
      </c>
      <c r="C63" s="11"/>
      <c r="D63" s="7">
        <v>625.22</v>
      </c>
      <c r="E63" s="2"/>
      <c r="F63" s="6">
        <f t="shared" si="13"/>
        <v>9.2288354566774568E-4</v>
      </c>
      <c r="G63" s="2"/>
      <c r="H63" s="7">
        <v>400.34003421057702</v>
      </c>
      <c r="I63" s="2"/>
      <c r="J63" s="6">
        <f t="shared" si="14"/>
        <v>8.1328104493131996E-4</v>
      </c>
      <c r="K63" s="2"/>
      <c r="L63" s="7">
        <f t="shared" si="15"/>
        <v>224.87996578942301</v>
      </c>
      <c r="M63" s="2"/>
      <c r="N63" s="6">
        <f t="shared" si="16"/>
        <v>0.56172240238940774</v>
      </c>
      <c r="O63" s="11"/>
      <c r="P63" s="7">
        <v>1967.34</v>
      </c>
      <c r="Q63" s="2"/>
      <c r="R63" s="6">
        <f t="shared" si="17"/>
        <v>5.4515848010899771E-4</v>
      </c>
      <c r="S63" s="2"/>
      <c r="T63" s="7">
        <v>1713.9323443119199</v>
      </c>
      <c r="U63" s="2"/>
      <c r="V63" s="6">
        <f t="shared" si="18"/>
        <v>3.2482482538780951E-4</v>
      </c>
      <c r="W63" s="2"/>
      <c r="X63" s="7">
        <f t="shared" si="19"/>
        <v>253.40765568808001</v>
      </c>
      <c r="Y63" s="2"/>
      <c r="Z63" s="6">
        <f t="shared" si="20"/>
        <v>0.14785160950434934</v>
      </c>
    </row>
    <row r="64" spans="1:26" s="24" customFormat="1" hidden="1" outlineLevel="2" x14ac:dyDescent="0.25">
      <c r="A64" s="27"/>
      <c r="B64" s="11" t="str">
        <f>CONCATENATE("          ", "6115", " - ", "P.E.R.S.")</f>
        <v xml:space="preserve">          6115 - P.E.R.S.</v>
      </c>
      <c r="C64" s="11"/>
      <c r="D64" s="7">
        <v>9593.2199999999993</v>
      </c>
      <c r="E64" s="2"/>
      <c r="F64" s="6">
        <f t="shared" si="13"/>
        <v>1.4160495326398277E-2</v>
      </c>
      <c r="G64" s="2"/>
      <c r="H64" s="7">
        <v>5522.20547148077</v>
      </c>
      <c r="I64" s="2"/>
      <c r="J64" s="6">
        <f t="shared" si="14"/>
        <v>1.1218226138755416E-2</v>
      </c>
      <c r="K64" s="2"/>
      <c r="L64" s="7">
        <f t="shared" si="15"/>
        <v>4071.0145285192293</v>
      </c>
      <c r="M64" s="2"/>
      <c r="N64" s="6">
        <f t="shared" si="16"/>
        <v>0.73720808643282765</v>
      </c>
      <c r="O64" s="11"/>
      <c r="P64" s="7">
        <v>28814.31</v>
      </c>
      <c r="Q64" s="2"/>
      <c r="R64" s="6">
        <f t="shared" si="17"/>
        <v>7.9845707630554433E-3</v>
      </c>
      <c r="S64" s="2"/>
      <c r="T64" s="7">
        <v>21697.533158869199</v>
      </c>
      <c r="U64" s="2"/>
      <c r="V64" s="6">
        <f t="shared" si="18"/>
        <v>4.1121211365582593E-3</v>
      </c>
      <c r="W64" s="2"/>
      <c r="X64" s="7">
        <f t="shared" si="19"/>
        <v>7116.7768411308025</v>
      </c>
      <c r="Y64" s="2"/>
      <c r="Z64" s="6">
        <f t="shared" si="20"/>
        <v>0.32799935315327361</v>
      </c>
    </row>
    <row r="65" spans="1:26" s="24" customFormat="1" hidden="1" outlineLevel="2" x14ac:dyDescent="0.25">
      <c r="A65" s="27"/>
      <c r="B65" s="11" t="str">
        <f>CONCATENATE("          ", "6116", " - ", "EDUCATIONAL BENEFITS")</f>
        <v xml:space="preserve">          6116 - EDUCATIONAL BENEFITS</v>
      </c>
      <c r="C65" s="11"/>
      <c r="D65" s="7"/>
      <c r="E65" s="2"/>
      <c r="F65" s="6">
        <f t="shared" si="13"/>
        <v>0</v>
      </c>
      <c r="G65" s="2"/>
      <c r="H65" s="7">
        <v>0</v>
      </c>
      <c r="I65" s="2"/>
      <c r="J65" s="6">
        <f t="shared" si="14"/>
        <v>0</v>
      </c>
      <c r="K65" s="2"/>
      <c r="L65" s="7">
        <f t="shared" si="15"/>
        <v>0</v>
      </c>
      <c r="M65" s="2"/>
      <c r="N65" s="6">
        <f t="shared" si="16"/>
        <v>0</v>
      </c>
      <c r="O65" s="11"/>
      <c r="P65" s="7"/>
      <c r="Q65" s="2"/>
      <c r="R65" s="6">
        <f t="shared" si="17"/>
        <v>0</v>
      </c>
      <c r="S65" s="2"/>
      <c r="T65" s="7">
        <v>0</v>
      </c>
      <c r="U65" s="2"/>
      <c r="V65" s="6">
        <f t="shared" si="18"/>
        <v>0</v>
      </c>
      <c r="W65" s="2"/>
      <c r="X65" s="7">
        <f t="shared" si="19"/>
        <v>0</v>
      </c>
      <c r="Y65" s="2"/>
      <c r="Z65" s="6">
        <f t="shared" si="20"/>
        <v>0</v>
      </c>
    </row>
    <row r="66" spans="1:26" s="24" customFormat="1" hidden="1" outlineLevel="2" x14ac:dyDescent="0.25">
      <c r="A66" s="27"/>
      <c r="B66" s="11" t="str">
        <f>CONCATENATE("          ", "6117", " - ", "RETIREMENT STAFF HOURLY")</f>
        <v xml:space="preserve">          6117 - RETIREMENT STAFF HOURLY</v>
      </c>
      <c r="C66" s="11"/>
      <c r="D66" s="7">
        <v>-363.97</v>
      </c>
      <c r="E66" s="2"/>
      <c r="F66" s="6">
        <f t="shared" si="13"/>
        <v>-5.3725396519095582E-4</v>
      </c>
      <c r="G66" s="2"/>
      <c r="H66" s="7"/>
      <c r="I66" s="2"/>
      <c r="J66" s="6">
        <f t="shared" si="14"/>
        <v>0</v>
      </c>
      <c r="K66" s="2"/>
      <c r="L66" s="7">
        <f t="shared" si="15"/>
        <v>-363.97</v>
      </c>
      <c r="M66" s="2"/>
      <c r="N66" s="6">
        <f t="shared" si="16"/>
        <v>0</v>
      </c>
      <c r="O66" s="11"/>
      <c r="P66" s="7">
        <v>1858.38</v>
      </c>
      <c r="Q66" s="2"/>
      <c r="R66" s="6">
        <f t="shared" si="17"/>
        <v>5.1496518967995332E-4</v>
      </c>
      <c r="S66" s="2"/>
      <c r="T66" s="7"/>
      <c r="U66" s="2"/>
      <c r="V66" s="6">
        <f t="shared" si="18"/>
        <v>0</v>
      </c>
      <c r="W66" s="2"/>
      <c r="X66" s="7">
        <f t="shared" si="19"/>
        <v>1858.38</v>
      </c>
      <c r="Y66" s="2"/>
      <c r="Z66" s="6">
        <f t="shared" si="20"/>
        <v>0</v>
      </c>
    </row>
    <row r="67" spans="1:26" s="24" customFormat="1" hidden="1" outlineLevel="2" x14ac:dyDescent="0.25">
      <c r="A67" s="27"/>
      <c r="B67" s="11" t="str">
        <f>CONCATENATE("          ", "6118", " - ", "VACATION")</f>
        <v xml:space="preserve">          6118 - VACATION</v>
      </c>
      <c r="C67" s="11"/>
      <c r="D67" s="7">
        <v>7935.31</v>
      </c>
      <c r="E67" s="2"/>
      <c r="F67" s="6">
        <f t="shared" si="13"/>
        <v>1.171326417704603E-2</v>
      </c>
      <c r="G67" s="2"/>
      <c r="H67" s="7">
        <v>4965.59355333654</v>
      </c>
      <c r="I67" s="2"/>
      <c r="J67" s="6">
        <f t="shared" si="14"/>
        <v>1.0087482561480661E-2</v>
      </c>
      <c r="K67" s="2"/>
      <c r="L67" s="7">
        <f t="shared" si="15"/>
        <v>2969.7164466634604</v>
      </c>
      <c r="M67" s="2"/>
      <c r="N67" s="6">
        <f t="shared" si="16"/>
        <v>0.59805870431501862</v>
      </c>
      <c r="O67" s="11"/>
      <c r="P67" s="7">
        <v>23813.200000000001</v>
      </c>
      <c r="Q67" s="2"/>
      <c r="R67" s="6">
        <f t="shared" si="17"/>
        <v>6.5987414064328414E-3</v>
      </c>
      <c r="S67" s="2"/>
      <c r="T67" s="7">
        <v>19989.617561242299</v>
      </c>
      <c r="U67" s="2"/>
      <c r="V67" s="6">
        <f t="shared" si="18"/>
        <v>3.7884366062922795E-3</v>
      </c>
      <c r="W67" s="2"/>
      <c r="X67" s="7">
        <f t="shared" si="19"/>
        <v>3823.5824387577013</v>
      </c>
      <c r="Y67" s="2"/>
      <c r="Z67" s="6">
        <f t="shared" si="20"/>
        <v>0.19127841876130802</v>
      </c>
    </row>
    <row r="68" spans="1:26" s="24" customFormat="1" hidden="1" outlineLevel="2" x14ac:dyDescent="0.25">
      <c r="A68" s="27"/>
      <c r="B68" s="11" t="str">
        <f>CONCATENATE("          ", "6119", " - ", "SICK LEAVE")</f>
        <v xml:space="preserve">          6119 - SICK LEAVE</v>
      </c>
      <c r="C68" s="11"/>
      <c r="D68" s="7">
        <v>5810.98</v>
      </c>
      <c r="E68" s="2"/>
      <c r="F68" s="6">
        <f t="shared" si="13"/>
        <v>8.5775532231924072E-3</v>
      </c>
      <c r="G68" s="2"/>
      <c r="H68" s="7">
        <v>6988.4455993653901</v>
      </c>
      <c r="I68" s="2"/>
      <c r="J68" s="6">
        <f t="shared" si="14"/>
        <v>1.4196857305827268E-2</v>
      </c>
      <c r="K68" s="2"/>
      <c r="L68" s="7">
        <f t="shared" si="15"/>
        <v>-1177.4655993653905</v>
      </c>
      <c r="M68" s="2"/>
      <c r="N68" s="6">
        <f t="shared" si="16"/>
        <v>-0.16848748160425178</v>
      </c>
      <c r="O68" s="11"/>
      <c r="P68" s="7">
        <v>17784.03</v>
      </c>
      <c r="Q68" s="2"/>
      <c r="R68" s="6">
        <f t="shared" si="17"/>
        <v>4.9280321474746702E-3</v>
      </c>
      <c r="S68" s="2"/>
      <c r="T68" s="7">
        <v>29476.932042330802</v>
      </c>
      <c r="U68" s="2"/>
      <c r="V68" s="6">
        <f t="shared" si="18"/>
        <v>5.5864744809763023E-3</v>
      </c>
      <c r="W68" s="2"/>
      <c r="X68" s="7">
        <f t="shared" si="19"/>
        <v>-11692.902042330803</v>
      </c>
      <c r="Y68" s="2"/>
      <c r="Z68" s="6">
        <f t="shared" si="20"/>
        <v>-0.39667975030573166</v>
      </c>
    </row>
    <row r="69" spans="1:26" s="24" customFormat="1" hidden="1" outlineLevel="2" x14ac:dyDescent="0.25">
      <c r="A69" s="27"/>
      <c r="B69" s="11" t="str">
        <f>CONCATENATE("          ", "6156", " - ", "EMPLOYEE MEALS")</f>
        <v xml:space="preserve">          6156 - EMPLOYEE MEALS</v>
      </c>
      <c r="C69" s="11"/>
      <c r="D69" s="7">
        <v>4243.49</v>
      </c>
      <c r="E69" s="2"/>
      <c r="F69" s="6">
        <f t="shared" si="13"/>
        <v>6.2637905012725469E-3</v>
      </c>
      <c r="G69" s="2"/>
      <c r="H69" s="7">
        <v>2800</v>
      </c>
      <c r="I69" s="2"/>
      <c r="J69" s="6">
        <f t="shared" si="14"/>
        <v>5.6881319159050323E-3</v>
      </c>
      <c r="K69" s="2"/>
      <c r="L69" s="7">
        <f t="shared" si="15"/>
        <v>1443.4899999999998</v>
      </c>
      <c r="M69" s="2"/>
      <c r="N69" s="6">
        <f t="shared" si="16"/>
        <v>0.51553214285714277</v>
      </c>
      <c r="O69" s="11"/>
      <c r="P69" s="7">
        <v>10395.07</v>
      </c>
      <c r="Q69" s="2"/>
      <c r="R69" s="6">
        <f t="shared" si="17"/>
        <v>2.880519158776134E-3</v>
      </c>
      <c r="S69" s="2"/>
      <c r="T69" s="7">
        <v>11200</v>
      </c>
      <c r="U69" s="2"/>
      <c r="V69" s="6">
        <f t="shared" si="18"/>
        <v>2.1226264014546055E-3</v>
      </c>
      <c r="W69" s="2"/>
      <c r="X69" s="7">
        <f t="shared" si="19"/>
        <v>-804.93000000000029</v>
      </c>
      <c r="Y69" s="2"/>
      <c r="Z69" s="6">
        <f t="shared" si="20"/>
        <v>-7.1868750000000023E-2</v>
      </c>
    </row>
    <row r="70" spans="1:26" s="28" customFormat="1" outlineLevel="1" collapsed="1" x14ac:dyDescent="0.25">
      <c r="A70" s="29"/>
      <c r="B70" s="14" t="str">
        <f>CONCATENATE("     ","*Payroll                                          ")</f>
        <v xml:space="preserve">     *Payroll                                          </v>
      </c>
      <c r="C70" s="14"/>
      <c r="D70" s="1">
        <f>SUM(OSRRefD22_1x_0)</f>
        <v>184744.09000000003</v>
      </c>
      <c r="E70" s="1"/>
      <c r="F70" s="5">
        <f t="shared" ref="F70:F80" si="21">IF(D$12=0,0,D70/D$12)</f>
        <v>0.27269965903259835</v>
      </c>
      <c r="G70" s="1"/>
      <c r="H70" s="1">
        <f>SUM(OSRRefH22_1x_0)</f>
        <v>181771.18454214421</v>
      </c>
      <c r="I70" s="1"/>
      <c r="J70" s="5">
        <f t="shared" ref="J70:J80" si="22">IF(H$12=0,0,H70/H$12)</f>
        <v>0.36926374149501212</v>
      </c>
      <c r="K70" s="1"/>
      <c r="L70" s="1">
        <f t="shared" ref="L70:L80" si="23">+D70-H70</f>
        <v>2972.9054578558134</v>
      </c>
      <c r="M70" s="1"/>
      <c r="N70" s="5">
        <f t="shared" ref="N70:N80" si="24">IF(H70=0,0,L70/H70)</f>
        <v>1.6355207594339772E-2</v>
      </c>
      <c r="O70" s="14"/>
      <c r="P70" s="1">
        <f>SUM(OSRRefP22_1x_0)</f>
        <v>725906.33999999985</v>
      </c>
      <c r="Q70" s="1"/>
      <c r="R70" s="5">
        <f t="shared" ref="R70:R80" si="25">IF(P$12=0,0,P70/P$12)</f>
        <v>0.20115180752482301</v>
      </c>
      <c r="S70" s="1"/>
      <c r="T70" s="1">
        <f>SUM(OSRRefT22_1x_0)</f>
        <v>781881.07339018059</v>
      </c>
      <c r="U70" s="1"/>
      <c r="V70" s="5">
        <f t="shared" ref="V70:V80" si="26">IF(T$12=0,0,T70/T$12)</f>
        <v>0.14818226867639853</v>
      </c>
      <c r="W70" s="1"/>
      <c r="X70" s="1">
        <f t="shared" ref="X70:X80" si="27">+P70-T70</f>
        <v>-55974.733390180743</v>
      </c>
      <c r="Y70" s="1"/>
      <c r="Z70" s="5">
        <f t="shared" ref="Z70:Z80" si="28">IF(T70=0,0,X70/T70)</f>
        <v>-7.1589830340154273E-2</v>
      </c>
    </row>
    <row r="71" spans="1:26" s="24" customFormat="1" hidden="1" outlineLevel="2" x14ac:dyDescent="0.25">
      <c r="A71" s="27"/>
      <c r="B71" s="11" t="str">
        <f>CONCATENATE("          ", "6001", " - ", "ADMINISTRATIVE SALARIES")</f>
        <v xml:space="preserve">          6001 - ADMINISTRATIVE SALARIES</v>
      </c>
      <c r="C71" s="11"/>
      <c r="D71" s="7">
        <v>4926.78</v>
      </c>
      <c r="E71" s="2"/>
      <c r="F71" s="6">
        <f t="shared" si="21"/>
        <v>7.2723908306275165E-3</v>
      </c>
      <c r="G71" s="2"/>
      <c r="H71" s="7">
        <v>5174.7596153846198</v>
      </c>
      <c r="I71" s="2"/>
      <c r="J71" s="6">
        <f t="shared" si="22"/>
        <v>1.0512398330502038E-2</v>
      </c>
      <c r="K71" s="2"/>
      <c r="L71" s="7">
        <f t="shared" si="23"/>
        <v>-247.97961538462005</v>
      </c>
      <c r="M71" s="2"/>
      <c r="N71" s="6">
        <f t="shared" si="24"/>
        <v>-4.792099224230123E-2</v>
      </c>
      <c r="O71" s="11"/>
      <c r="P71" s="7">
        <v>19484.080000000002</v>
      </c>
      <c r="Q71" s="2"/>
      <c r="R71" s="6">
        <f t="shared" si="25"/>
        <v>5.3991234047608043E-3</v>
      </c>
      <c r="S71" s="2"/>
      <c r="T71" s="7">
        <v>18629.134615384599</v>
      </c>
      <c r="U71" s="2"/>
      <c r="V71" s="6">
        <f t="shared" si="26"/>
        <v>3.530597586684575E-3</v>
      </c>
      <c r="W71" s="2"/>
      <c r="X71" s="7">
        <f t="shared" si="27"/>
        <v>854.94538461540287</v>
      </c>
      <c r="Y71" s="2"/>
      <c r="Z71" s="6">
        <f t="shared" si="28"/>
        <v>4.5892920002272068E-2</v>
      </c>
    </row>
    <row r="72" spans="1:26" s="24" customFormat="1" hidden="1" outlineLevel="2" x14ac:dyDescent="0.25">
      <c r="A72" s="27"/>
      <c r="B72" s="11" t="str">
        <f>CONCATENATE("          ", "6002", " - ", "STAFF SALARIES")</f>
        <v xml:space="preserve">          6002 - STAFF SALARIES</v>
      </c>
      <c r="C72" s="11"/>
      <c r="D72" s="7">
        <v>64597.599999999999</v>
      </c>
      <c r="E72" s="2"/>
      <c r="F72" s="6">
        <f t="shared" si="21"/>
        <v>9.5352135455722409E-2</v>
      </c>
      <c r="G72" s="2"/>
      <c r="H72" s="7">
        <v>52875.7939667596</v>
      </c>
      <c r="I72" s="2"/>
      <c r="J72" s="6">
        <f t="shared" si="22"/>
        <v>0.10741588972898002</v>
      </c>
      <c r="K72" s="2"/>
      <c r="L72" s="7">
        <f t="shared" si="23"/>
        <v>11721.806033240398</v>
      </c>
      <c r="M72" s="2"/>
      <c r="N72" s="6">
        <f t="shared" si="24"/>
        <v>0.22168567417842119</v>
      </c>
      <c r="O72" s="11"/>
      <c r="P72" s="7">
        <v>258602.99</v>
      </c>
      <c r="Q72" s="2"/>
      <c r="R72" s="6">
        <f t="shared" si="25"/>
        <v>7.1660014527251181E-2</v>
      </c>
      <c r="S72" s="2"/>
      <c r="T72" s="7">
        <v>208317.44481879601</v>
      </c>
      <c r="U72" s="2"/>
      <c r="V72" s="6">
        <f t="shared" si="26"/>
        <v>3.9480366808566009E-2</v>
      </c>
      <c r="W72" s="2"/>
      <c r="X72" s="7">
        <f t="shared" si="27"/>
        <v>50285.545181203983</v>
      </c>
      <c r="Y72" s="2"/>
      <c r="Z72" s="6">
        <f t="shared" si="28"/>
        <v>0.24138902637244153</v>
      </c>
    </row>
    <row r="73" spans="1:26" s="24" customFormat="1" hidden="1" outlineLevel="2" x14ac:dyDescent="0.25">
      <c r="A73" s="27"/>
      <c r="B73" s="11" t="str">
        <f>CONCATENATE("          ", "6003", " - ", "STAFF HOURLY-9 MONTH")</f>
        <v xml:space="preserve">          6003 - STAFF HOURLY-9 MONTH</v>
      </c>
      <c r="C73" s="11"/>
      <c r="D73" s="7"/>
      <c r="E73" s="2"/>
      <c r="F73" s="6">
        <f t="shared" si="21"/>
        <v>0</v>
      </c>
      <c r="G73" s="2"/>
      <c r="H73" s="7">
        <v>0</v>
      </c>
      <c r="I73" s="2"/>
      <c r="J73" s="6">
        <f t="shared" si="22"/>
        <v>0</v>
      </c>
      <c r="K73" s="2"/>
      <c r="L73" s="7">
        <f t="shared" si="23"/>
        <v>0</v>
      </c>
      <c r="M73" s="2"/>
      <c r="N73" s="6">
        <f t="shared" si="24"/>
        <v>0</v>
      </c>
      <c r="O73" s="11"/>
      <c r="P73" s="7"/>
      <c r="Q73" s="2"/>
      <c r="R73" s="6">
        <f t="shared" si="25"/>
        <v>0</v>
      </c>
      <c r="S73" s="2"/>
      <c r="T73" s="7">
        <v>0</v>
      </c>
      <c r="U73" s="2"/>
      <c r="V73" s="6">
        <f t="shared" si="26"/>
        <v>0</v>
      </c>
      <c r="W73" s="2"/>
      <c r="X73" s="7">
        <f t="shared" si="27"/>
        <v>0</v>
      </c>
      <c r="Y73" s="2"/>
      <c r="Z73" s="6">
        <f t="shared" si="28"/>
        <v>0</v>
      </c>
    </row>
    <row r="74" spans="1:26" s="24" customFormat="1" hidden="1" outlineLevel="2" x14ac:dyDescent="0.25">
      <c r="A74" s="27"/>
      <c r="B74" s="11" t="str">
        <f>CONCATENATE("          ", "6004", " - ", "STAFF HOURLY")</f>
        <v xml:space="preserve">          6004 - STAFF HOURLY</v>
      </c>
      <c r="C74" s="11"/>
      <c r="D74" s="7">
        <v>35524.94</v>
      </c>
      <c r="E74" s="2"/>
      <c r="F74" s="6">
        <f t="shared" si="21"/>
        <v>5.2438153908758403E-2</v>
      </c>
      <c r="G74" s="2"/>
      <c r="H74" s="7">
        <v>46178.418460000001</v>
      </c>
      <c r="I74" s="2"/>
      <c r="J74" s="6">
        <f t="shared" si="22"/>
        <v>9.3810334238694337E-2</v>
      </c>
      <c r="K74" s="2"/>
      <c r="L74" s="7">
        <f t="shared" si="23"/>
        <v>-10653.478459999998</v>
      </c>
      <c r="M74" s="2"/>
      <c r="N74" s="6">
        <f t="shared" si="24"/>
        <v>-0.23070254060840348</v>
      </c>
      <c r="O74" s="11"/>
      <c r="P74" s="7">
        <v>100746.86</v>
      </c>
      <c r="Q74" s="2"/>
      <c r="R74" s="6">
        <f t="shared" si="25"/>
        <v>2.7917393573736099E-2</v>
      </c>
      <c r="S74" s="2"/>
      <c r="T74" s="7">
        <v>166242.30645599999</v>
      </c>
      <c r="U74" s="2"/>
      <c r="V74" s="6">
        <f t="shared" si="26"/>
        <v>3.1506277564483307E-2</v>
      </c>
      <c r="W74" s="2"/>
      <c r="X74" s="7">
        <f t="shared" si="27"/>
        <v>-65495.446455999991</v>
      </c>
      <c r="Y74" s="2"/>
      <c r="Z74" s="6">
        <f t="shared" si="28"/>
        <v>-0.39397580466880089</v>
      </c>
    </row>
    <row r="75" spans="1:26" s="24" customFormat="1" hidden="1" outlineLevel="2" x14ac:dyDescent="0.25">
      <c r="A75" s="27"/>
      <c r="B75" s="11" t="str">
        <f>CONCATENATE("          ", "6005", " - ", "TEMPORARY WAGES-HOURLY")</f>
        <v xml:space="preserve">          6005 - TEMPORARY WAGES-HOURLY</v>
      </c>
      <c r="C75" s="11"/>
      <c r="D75" s="7">
        <v>13892.06</v>
      </c>
      <c r="E75" s="2"/>
      <c r="F75" s="6">
        <f t="shared" si="21"/>
        <v>2.0505987635438826E-2</v>
      </c>
      <c r="G75" s="2"/>
      <c r="H75" s="7">
        <v>3445</v>
      </c>
      <c r="I75" s="2"/>
      <c r="J75" s="6">
        <f t="shared" si="22"/>
        <v>6.9984337322474416E-3</v>
      </c>
      <c r="K75" s="2"/>
      <c r="L75" s="7">
        <f t="shared" si="23"/>
        <v>10447.06</v>
      </c>
      <c r="M75" s="2"/>
      <c r="N75" s="6">
        <f t="shared" si="24"/>
        <v>3.0325283018867921</v>
      </c>
      <c r="O75" s="11"/>
      <c r="P75" s="7">
        <v>43076.05</v>
      </c>
      <c r="Q75" s="2"/>
      <c r="R75" s="6">
        <f t="shared" si="25"/>
        <v>1.1936561014923294E-2</v>
      </c>
      <c r="S75" s="2"/>
      <c r="T75" s="7">
        <v>15091</v>
      </c>
      <c r="U75" s="2"/>
      <c r="V75" s="6">
        <f t="shared" si="26"/>
        <v>2.8600495557456656E-3</v>
      </c>
      <c r="W75" s="2"/>
      <c r="X75" s="7">
        <f t="shared" si="27"/>
        <v>27985.050000000003</v>
      </c>
      <c r="Y75" s="2"/>
      <c r="Z75" s="6">
        <f t="shared" si="28"/>
        <v>1.8544198528924527</v>
      </c>
    </row>
    <row r="76" spans="1:26" s="24" customFormat="1" hidden="1" outlineLevel="2" x14ac:dyDescent="0.25">
      <c r="A76" s="27"/>
      <c r="B76" s="11" t="str">
        <f>CONCATENATE("          ", "6006", " - ", "TEMPORARY PART TIME")</f>
        <v xml:space="preserve">          6006 - TEMPORARY PART TIME</v>
      </c>
      <c r="C76" s="11"/>
      <c r="D76" s="7">
        <v>781.97</v>
      </c>
      <c r="E76" s="2"/>
      <c r="F76" s="6">
        <f t="shared" si="21"/>
        <v>1.1542612939538196E-3</v>
      </c>
      <c r="G76" s="2"/>
      <c r="H76" s="7">
        <v>0</v>
      </c>
      <c r="I76" s="2"/>
      <c r="J76" s="6">
        <f t="shared" si="22"/>
        <v>0</v>
      </c>
      <c r="K76" s="2"/>
      <c r="L76" s="7">
        <f t="shared" si="23"/>
        <v>781.97</v>
      </c>
      <c r="M76" s="2"/>
      <c r="N76" s="6">
        <f t="shared" si="24"/>
        <v>0</v>
      </c>
      <c r="O76" s="11"/>
      <c r="P76" s="7">
        <v>9877.6200000000008</v>
      </c>
      <c r="Q76" s="2"/>
      <c r="R76" s="6">
        <f t="shared" si="25"/>
        <v>2.7371315107171299E-3</v>
      </c>
      <c r="S76" s="2"/>
      <c r="T76" s="7">
        <v>0</v>
      </c>
      <c r="U76" s="2"/>
      <c r="V76" s="6">
        <f t="shared" si="26"/>
        <v>0</v>
      </c>
      <c r="W76" s="2"/>
      <c r="X76" s="7">
        <f t="shared" si="27"/>
        <v>9877.6200000000008</v>
      </c>
      <c r="Y76" s="2"/>
      <c r="Z76" s="6">
        <f t="shared" si="28"/>
        <v>0</v>
      </c>
    </row>
    <row r="77" spans="1:26" s="24" customFormat="1" hidden="1" outlineLevel="2" x14ac:dyDescent="0.25">
      <c r="A77" s="27"/>
      <c r="B77" s="11" t="str">
        <f>CONCATENATE("          ", "6007", " - ", "STUDENT HOURLY")</f>
        <v xml:space="preserve">          6007 - STUDENT HOURLY</v>
      </c>
      <c r="C77" s="11"/>
      <c r="D77" s="7">
        <v>53383.26</v>
      </c>
      <c r="E77" s="2"/>
      <c r="F77" s="6">
        <f t="shared" si="21"/>
        <v>7.8798714481467552E-2</v>
      </c>
      <c r="G77" s="2"/>
      <c r="H77" s="7">
        <v>35509.4</v>
      </c>
      <c r="I77" s="2"/>
      <c r="J77" s="6">
        <f t="shared" si="22"/>
        <v>7.2136482662370771E-2</v>
      </c>
      <c r="K77" s="2"/>
      <c r="L77" s="7">
        <f t="shared" si="23"/>
        <v>17873.86</v>
      </c>
      <c r="M77" s="2"/>
      <c r="N77" s="6">
        <f t="shared" si="24"/>
        <v>0.50335573115851018</v>
      </c>
      <c r="O77" s="11"/>
      <c r="P77" s="7">
        <v>246457.3</v>
      </c>
      <c r="Q77" s="2"/>
      <c r="R77" s="6">
        <f t="shared" si="25"/>
        <v>6.8294390943999153E-2</v>
      </c>
      <c r="S77" s="2"/>
      <c r="T77" s="7">
        <v>168759.28</v>
      </c>
      <c r="U77" s="2"/>
      <c r="V77" s="6">
        <f t="shared" si="26"/>
        <v>3.1983294930220549E-2</v>
      </c>
      <c r="W77" s="2"/>
      <c r="X77" s="7">
        <f t="shared" si="27"/>
        <v>77698.01999999999</v>
      </c>
      <c r="Y77" s="2"/>
      <c r="Z77" s="6">
        <f t="shared" si="28"/>
        <v>0.46040739211496984</v>
      </c>
    </row>
    <row r="78" spans="1:26" s="24" customFormat="1" hidden="1" outlineLevel="2" x14ac:dyDescent="0.25">
      <c r="A78" s="27"/>
      <c r="B78" s="11" t="str">
        <f>CONCATENATE("          ", "6008", " - ", "STUDENT HOURLY-FICA EXEMPT")</f>
        <v xml:space="preserve">          6008 - STUDENT HOURLY-FICA EXEMPT</v>
      </c>
      <c r="C78" s="11"/>
      <c r="D78" s="7">
        <v>11637.48</v>
      </c>
      <c r="E78" s="2"/>
      <c r="F78" s="6">
        <f t="shared" si="21"/>
        <v>1.7178015426629788E-2</v>
      </c>
      <c r="G78" s="2"/>
      <c r="H78" s="7">
        <v>38587.8125</v>
      </c>
      <c r="I78" s="2"/>
      <c r="J78" s="6">
        <f t="shared" si="22"/>
        <v>7.8390202802217562E-2</v>
      </c>
      <c r="K78" s="2"/>
      <c r="L78" s="7">
        <f t="shared" si="23"/>
        <v>-26950.3325</v>
      </c>
      <c r="M78" s="2"/>
      <c r="N78" s="6">
        <f t="shared" si="24"/>
        <v>-0.69841565908925263</v>
      </c>
      <c r="O78" s="11"/>
      <c r="P78" s="7">
        <v>47661.440000000002</v>
      </c>
      <c r="Q78" s="2"/>
      <c r="R78" s="6">
        <f t="shared" si="25"/>
        <v>1.3207192549435375E-2</v>
      </c>
      <c r="S78" s="2"/>
      <c r="T78" s="7">
        <v>204841.9075</v>
      </c>
      <c r="U78" s="2"/>
      <c r="V78" s="6">
        <f t="shared" si="26"/>
        <v>3.8821682230698408E-2</v>
      </c>
      <c r="W78" s="2"/>
      <c r="X78" s="7">
        <f t="shared" si="27"/>
        <v>-157180.4675</v>
      </c>
      <c r="Y78" s="2"/>
      <c r="Z78" s="6">
        <f t="shared" si="28"/>
        <v>-0.7673257363120386</v>
      </c>
    </row>
    <row r="79" spans="1:26" s="24" customFormat="1" hidden="1" outlineLevel="2" x14ac:dyDescent="0.25">
      <c r="A79" s="27"/>
      <c r="B79" s="11" t="str">
        <f>CONCATENATE("          ", "6009", " - ", "TEMPORARY-SEASONAL")</f>
        <v xml:space="preserve">          6009 - TEMPORARY-SEASONAL</v>
      </c>
      <c r="C79" s="11"/>
      <c r="D79" s="7"/>
      <c r="E79" s="2"/>
      <c r="F79" s="6">
        <f t="shared" si="21"/>
        <v>0</v>
      </c>
      <c r="G79" s="2"/>
      <c r="H79" s="7">
        <v>0</v>
      </c>
      <c r="I79" s="2"/>
      <c r="J79" s="6">
        <f t="shared" si="22"/>
        <v>0</v>
      </c>
      <c r="K79" s="2"/>
      <c r="L79" s="7">
        <f t="shared" si="23"/>
        <v>0</v>
      </c>
      <c r="M79" s="2"/>
      <c r="N79" s="6">
        <f t="shared" si="24"/>
        <v>0</v>
      </c>
      <c r="O79" s="11"/>
      <c r="P79" s="7"/>
      <c r="Q79" s="2"/>
      <c r="R79" s="6">
        <f t="shared" si="25"/>
        <v>0</v>
      </c>
      <c r="S79" s="2"/>
      <c r="T79" s="7">
        <v>0</v>
      </c>
      <c r="U79" s="2"/>
      <c r="V79" s="6">
        <f t="shared" si="26"/>
        <v>0</v>
      </c>
      <c r="W79" s="2"/>
      <c r="X79" s="7">
        <f t="shared" si="27"/>
        <v>0</v>
      </c>
      <c r="Y79" s="2"/>
      <c r="Z79" s="6">
        <f t="shared" si="28"/>
        <v>0</v>
      </c>
    </row>
    <row r="80" spans="1:26" s="24" customFormat="1" hidden="1" outlineLevel="2" x14ac:dyDescent="0.25">
      <c r="A80" s="27"/>
      <c r="B80" s="11" t="str">
        <f>CONCATENATE("          ", "6010", " - ", "GRATUITY")</f>
        <v xml:space="preserve">          6010 - GRATUITY</v>
      </c>
      <c r="C80" s="11"/>
      <c r="D80" s="7"/>
      <c r="E80" s="2"/>
      <c r="F80" s="6">
        <f t="shared" si="21"/>
        <v>0</v>
      </c>
      <c r="G80" s="2"/>
      <c r="H80" s="7">
        <v>0</v>
      </c>
      <c r="I80" s="2"/>
      <c r="J80" s="6">
        <f t="shared" si="22"/>
        <v>0</v>
      </c>
      <c r="K80" s="2"/>
      <c r="L80" s="7">
        <f t="shared" si="23"/>
        <v>0</v>
      </c>
      <c r="M80" s="2"/>
      <c r="N80" s="6">
        <f t="shared" si="24"/>
        <v>0</v>
      </c>
      <c r="O80" s="11"/>
      <c r="P80" s="7"/>
      <c r="Q80" s="2"/>
      <c r="R80" s="6">
        <f t="shared" si="25"/>
        <v>0</v>
      </c>
      <c r="S80" s="2"/>
      <c r="T80" s="7">
        <v>0</v>
      </c>
      <c r="U80" s="2"/>
      <c r="V80" s="6">
        <f t="shared" si="26"/>
        <v>0</v>
      </c>
      <c r="W80" s="2"/>
      <c r="X80" s="7">
        <f t="shared" si="27"/>
        <v>0</v>
      </c>
      <c r="Y80" s="2"/>
      <c r="Z80" s="6">
        <f t="shared" si="28"/>
        <v>0</v>
      </c>
    </row>
    <row r="81" spans="1:26" s="28" customFormat="1" outlineLevel="1" collapsed="1" x14ac:dyDescent="0.25">
      <c r="A81" s="29"/>
      <c r="B81" s="14" t="str">
        <f>CONCATENATE("     ","Advertising/Promo                                 ")</f>
        <v xml:space="preserve">     Advertising/Promo                                 </v>
      </c>
      <c r="C81" s="14"/>
      <c r="D81" s="1">
        <f>SUM(OSRRefD22_2x_0)</f>
        <v>957.25</v>
      </c>
      <c r="E81" s="1"/>
      <c r="F81" s="5">
        <f t="shared" ref="F81:F89" si="29">IF(D$12=0,0,D81/D$12)</f>
        <v>1.4129910656895965E-3</v>
      </c>
      <c r="G81" s="1"/>
      <c r="H81" s="1">
        <f>SUM(OSRRefH22_2x_0)</f>
        <v>500</v>
      </c>
      <c r="I81" s="1"/>
      <c r="J81" s="5">
        <f t="shared" ref="J81:J89" si="30">IF(H$12=0,0,H81/H$12)</f>
        <v>1.0157378421258986E-3</v>
      </c>
      <c r="K81" s="1"/>
      <c r="L81" s="1">
        <f t="shared" ref="L81:L89" si="31">+D81-H81</f>
        <v>457.25</v>
      </c>
      <c r="M81" s="1"/>
      <c r="N81" s="5">
        <f t="shared" ref="N81:N89" si="32">IF(H81=0,0,L81/H81)</f>
        <v>0.91449999999999998</v>
      </c>
      <c r="O81" s="14"/>
      <c r="P81" s="1">
        <f>SUM(OSRRefP22_2x_0)</f>
        <v>3261.49</v>
      </c>
      <c r="Q81" s="1"/>
      <c r="R81" s="5">
        <f t="shared" ref="R81:R89" si="33">IF(P$12=0,0,P81/P$12)</f>
        <v>9.0377308004244053E-4</v>
      </c>
      <c r="S81" s="1"/>
      <c r="T81" s="1">
        <f>SUM(OSRRefT22_2x_0)</f>
        <v>5000</v>
      </c>
      <c r="U81" s="1"/>
      <c r="V81" s="5">
        <f t="shared" ref="V81:V89" si="34">IF(T$12=0,0,T81/T$12)</f>
        <v>9.4760107207794893E-4</v>
      </c>
      <c r="W81" s="1"/>
      <c r="X81" s="1">
        <f t="shared" ref="X81:X89" si="35">+P81-T81</f>
        <v>-1738.5100000000002</v>
      </c>
      <c r="Y81" s="1"/>
      <c r="Z81" s="5">
        <f t="shared" ref="Z81:Z89" si="36">IF(T81=0,0,X81/T81)</f>
        <v>-0.34770200000000007</v>
      </c>
    </row>
    <row r="82" spans="1:26" s="24" customFormat="1" hidden="1" outlineLevel="2" x14ac:dyDescent="0.25">
      <c r="A82" s="27"/>
      <c r="B82" s="11" t="str">
        <f>CONCATENATE("          ", "6362", " - ", "ADVERTISING EXPENSE")</f>
        <v xml:space="preserve">          6362 - ADVERTISING EXPENSE</v>
      </c>
      <c r="C82" s="11"/>
      <c r="D82" s="7">
        <v>957.25</v>
      </c>
      <c r="E82" s="2"/>
      <c r="F82" s="6">
        <f t="shared" si="29"/>
        <v>1.4129910656895965E-3</v>
      </c>
      <c r="G82" s="2"/>
      <c r="H82" s="7">
        <v>500</v>
      </c>
      <c r="I82" s="2"/>
      <c r="J82" s="6">
        <f t="shared" si="30"/>
        <v>1.0157378421258986E-3</v>
      </c>
      <c r="K82" s="2"/>
      <c r="L82" s="7">
        <f t="shared" si="31"/>
        <v>457.25</v>
      </c>
      <c r="M82" s="2"/>
      <c r="N82" s="6">
        <f t="shared" si="32"/>
        <v>0.91449999999999998</v>
      </c>
      <c r="O82" s="11"/>
      <c r="P82" s="7">
        <v>3261.49</v>
      </c>
      <c r="Q82" s="2"/>
      <c r="R82" s="6">
        <f t="shared" si="33"/>
        <v>9.0377308004244053E-4</v>
      </c>
      <c r="S82" s="2"/>
      <c r="T82" s="7">
        <v>5000</v>
      </c>
      <c r="U82" s="2"/>
      <c r="V82" s="6">
        <f t="shared" si="34"/>
        <v>9.4760107207794893E-4</v>
      </c>
      <c r="W82" s="2"/>
      <c r="X82" s="7">
        <f t="shared" si="35"/>
        <v>-1738.5100000000002</v>
      </c>
      <c r="Y82" s="2"/>
      <c r="Z82" s="6">
        <f t="shared" si="36"/>
        <v>-0.34770200000000007</v>
      </c>
    </row>
    <row r="83" spans="1:26" s="28" customFormat="1" outlineLevel="1" collapsed="1" x14ac:dyDescent="0.25">
      <c r="A83" s="29"/>
      <c r="B83" s="14" t="str">
        <f>CONCATENATE("     ","Bad Debts/Over/Short                              ")</f>
        <v xml:space="preserve">     Bad Debts/Over/Short                              </v>
      </c>
      <c r="C83" s="14"/>
      <c r="D83" s="1">
        <f>SUM(OSRRefD22_3x_0)</f>
        <v>-30.42</v>
      </c>
      <c r="E83" s="1"/>
      <c r="F83" s="5">
        <f t="shared" si="29"/>
        <v>-4.4902782155421808E-5</v>
      </c>
      <c r="G83" s="1"/>
      <c r="H83" s="1">
        <f>SUM(OSRRefH22_3x_0)</f>
        <v>235</v>
      </c>
      <c r="I83" s="1"/>
      <c r="J83" s="5">
        <f t="shared" si="30"/>
        <v>4.7739678579917236E-4</v>
      </c>
      <c r="K83" s="1"/>
      <c r="L83" s="1">
        <f t="shared" si="31"/>
        <v>-265.42</v>
      </c>
      <c r="M83" s="1"/>
      <c r="N83" s="5">
        <f t="shared" si="32"/>
        <v>-1.1294468085106384</v>
      </c>
      <c r="O83" s="14"/>
      <c r="P83" s="1">
        <f>SUM(OSRRefP22_3x_0)</f>
        <v>218.49</v>
      </c>
      <c r="Q83" s="1"/>
      <c r="R83" s="5">
        <f t="shared" si="33"/>
        <v>6.0544530339958989E-5</v>
      </c>
      <c r="S83" s="1"/>
      <c r="T83" s="1">
        <f>SUM(OSRRefT22_3x_0)</f>
        <v>940</v>
      </c>
      <c r="U83" s="1"/>
      <c r="V83" s="5">
        <f t="shared" si="34"/>
        <v>1.7814900155065439E-4</v>
      </c>
      <c r="W83" s="1"/>
      <c r="X83" s="1">
        <f t="shared" si="35"/>
        <v>-721.51</v>
      </c>
      <c r="Y83" s="1"/>
      <c r="Z83" s="5">
        <f t="shared" si="36"/>
        <v>-0.76756382978723403</v>
      </c>
    </row>
    <row r="84" spans="1:26" s="24" customFormat="1" hidden="1" outlineLevel="2" x14ac:dyDescent="0.25">
      <c r="A84" s="27"/>
      <c r="B84" s="11" t="str">
        <f>CONCATENATE("          ", "6272", " - ", "CASH (OVER/SHORT)")</f>
        <v xml:space="preserve">          6272 - CASH (OVER/SHORT)</v>
      </c>
      <c r="C84" s="11"/>
      <c r="D84" s="7">
        <v>-30.42</v>
      </c>
      <c r="E84" s="2"/>
      <c r="F84" s="6">
        <f t="shared" si="29"/>
        <v>-4.4902782155421808E-5</v>
      </c>
      <c r="G84" s="2"/>
      <c r="H84" s="7">
        <v>235</v>
      </c>
      <c r="I84" s="2"/>
      <c r="J84" s="6">
        <f t="shared" si="30"/>
        <v>4.7739678579917236E-4</v>
      </c>
      <c r="K84" s="2"/>
      <c r="L84" s="7">
        <f t="shared" si="31"/>
        <v>-265.42</v>
      </c>
      <c r="M84" s="2"/>
      <c r="N84" s="6">
        <f t="shared" si="32"/>
        <v>-1.1294468085106384</v>
      </c>
      <c r="O84" s="11"/>
      <c r="P84" s="7">
        <v>218.49</v>
      </c>
      <c r="Q84" s="2"/>
      <c r="R84" s="6">
        <f t="shared" si="33"/>
        <v>6.0544530339958989E-5</v>
      </c>
      <c r="S84" s="2"/>
      <c r="T84" s="7">
        <v>940</v>
      </c>
      <c r="U84" s="2"/>
      <c r="V84" s="6">
        <f t="shared" si="34"/>
        <v>1.7814900155065439E-4</v>
      </c>
      <c r="W84" s="2"/>
      <c r="X84" s="7">
        <f t="shared" si="35"/>
        <v>-721.51</v>
      </c>
      <c r="Y84" s="2"/>
      <c r="Z84" s="6">
        <f t="shared" si="36"/>
        <v>-0.76756382978723403</v>
      </c>
    </row>
    <row r="85" spans="1:26" s="28" customFormat="1" outlineLevel="1" collapsed="1" x14ac:dyDescent="0.25">
      <c r="A85" s="29"/>
      <c r="B85" s="14" t="str">
        <f>CONCATENATE("     ","Bank/card Fees                                    ")</f>
        <v xml:space="preserve">     Bank/card Fees                                    </v>
      </c>
      <c r="C85" s="14"/>
      <c r="D85" s="1">
        <f>SUM(OSRRefD22_4x_0)</f>
        <v>12740.8</v>
      </c>
      <c r="E85" s="1"/>
      <c r="F85" s="5">
        <f t="shared" si="29"/>
        <v>1.8806619555746158E-2</v>
      </c>
      <c r="G85" s="1"/>
      <c r="H85" s="1">
        <f>SUM(OSRRefH22_4x_0)</f>
        <v>9036</v>
      </c>
      <c r="I85" s="1"/>
      <c r="J85" s="5">
        <f t="shared" si="30"/>
        <v>1.835641428289924E-2</v>
      </c>
      <c r="K85" s="1"/>
      <c r="L85" s="1">
        <f t="shared" si="31"/>
        <v>3704.7999999999993</v>
      </c>
      <c r="M85" s="1"/>
      <c r="N85" s="5">
        <f t="shared" si="32"/>
        <v>0.41000442673749438</v>
      </c>
      <c r="O85" s="14"/>
      <c r="P85" s="1">
        <f>SUM(OSRRefP22_4x_0)</f>
        <v>50329.49</v>
      </c>
      <c r="Q85" s="1"/>
      <c r="R85" s="5">
        <f t="shared" si="33"/>
        <v>1.3946520821546352E-2</v>
      </c>
      <c r="S85" s="1"/>
      <c r="T85" s="1">
        <f>SUM(OSRRefT22_4x_0)</f>
        <v>85631</v>
      </c>
      <c r="U85" s="1"/>
      <c r="V85" s="5">
        <f t="shared" si="34"/>
        <v>1.6228805480621368E-2</v>
      </c>
      <c r="W85" s="1"/>
      <c r="X85" s="1">
        <f t="shared" si="35"/>
        <v>-35301.51</v>
      </c>
      <c r="Y85" s="1"/>
      <c r="Z85" s="5">
        <f t="shared" si="36"/>
        <v>-0.41225152106129792</v>
      </c>
    </row>
    <row r="86" spans="1:26" s="24" customFormat="1" hidden="1" outlineLevel="2" x14ac:dyDescent="0.25">
      <c r="A86" s="27"/>
      <c r="B86" s="11" t="str">
        <f>CONCATENATE("          ", "6381", " - ", "BANK/CREDIT CARD FEES")</f>
        <v xml:space="preserve">          6381 - BANK/CREDIT CARD FEES</v>
      </c>
      <c r="C86" s="11"/>
      <c r="D86" s="7">
        <v>12740.8</v>
      </c>
      <c r="E86" s="2"/>
      <c r="F86" s="6">
        <f t="shared" si="29"/>
        <v>1.8806619555746158E-2</v>
      </c>
      <c r="G86" s="2"/>
      <c r="H86" s="7">
        <v>9036</v>
      </c>
      <c r="I86" s="2"/>
      <c r="J86" s="6">
        <f t="shared" si="30"/>
        <v>1.835641428289924E-2</v>
      </c>
      <c r="K86" s="2"/>
      <c r="L86" s="7">
        <f t="shared" si="31"/>
        <v>3704.7999999999993</v>
      </c>
      <c r="M86" s="2"/>
      <c r="N86" s="6">
        <f t="shared" si="32"/>
        <v>0.41000442673749438</v>
      </c>
      <c r="O86" s="11"/>
      <c r="P86" s="7">
        <v>50329.49</v>
      </c>
      <c r="Q86" s="2"/>
      <c r="R86" s="6">
        <f t="shared" si="33"/>
        <v>1.3946520821546352E-2</v>
      </c>
      <c r="S86" s="2"/>
      <c r="T86" s="7">
        <v>85631</v>
      </c>
      <c r="U86" s="2"/>
      <c r="V86" s="6">
        <f t="shared" si="34"/>
        <v>1.6228805480621368E-2</v>
      </c>
      <c r="W86" s="2"/>
      <c r="X86" s="7">
        <f t="shared" si="35"/>
        <v>-35301.51</v>
      </c>
      <c r="Y86" s="2"/>
      <c r="Z86" s="6">
        <f t="shared" si="36"/>
        <v>-0.41225152106129792</v>
      </c>
    </row>
    <row r="87" spans="1:26" s="28" customFormat="1" outlineLevel="1" collapsed="1" x14ac:dyDescent="0.25">
      <c r="A87" s="29"/>
      <c r="B87" s="14" t="str">
        <f>CONCATENATE("     ","Depreciation                                      ")</f>
        <v xml:space="preserve">     Depreciation                                      </v>
      </c>
      <c r="C87" s="14"/>
      <c r="D87" s="1">
        <f>SUM(OSRRefD22_5x_0)</f>
        <v>30895.300000000003</v>
      </c>
      <c r="E87" s="1"/>
      <c r="F87" s="5">
        <f t="shared" si="29"/>
        <v>4.5604369675424181E-2</v>
      </c>
      <c r="G87" s="1"/>
      <c r="H87" s="1">
        <f>SUM(OSRRefH22_5x_0)</f>
        <v>30494</v>
      </c>
      <c r="I87" s="1"/>
      <c r="J87" s="5">
        <f t="shared" si="30"/>
        <v>6.1947819515574307E-2</v>
      </c>
      <c r="K87" s="1"/>
      <c r="L87" s="1">
        <f t="shared" si="31"/>
        <v>401.30000000000291</v>
      </c>
      <c r="M87" s="1"/>
      <c r="N87" s="5">
        <f t="shared" si="32"/>
        <v>1.3159965894930245E-2</v>
      </c>
      <c r="O87" s="14"/>
      <c r="P87" s="1">
        <f>SUM(OSRRefP22_5x_0)</f>
        <v>123898.66</v>
      </c>
      <c r="Q87" s="1"/>
      <c r="R87" s="5">
        <f t="shared" si="33"/>
        <v>3.4332858160328911E-2</v>
      </c>
      <c r="S87" s="1"/>
      <c r="T87" s="1">
        <f>SUM(OSRRefT22_5x_0)</f>
        <v>122293</v>
      </c>
      <c r="U87" s="1"/>
      <c r="V87" s="5">
        <f t="shared" si="34"/>
        <v>2.3176995581525722E-2</v>
      </c>
      <c r="W87" s="1"/>
      <c r="X87" s="1">
        <f t="shared" si="35"/>
        <v>1605.6600000000035</v>
      </c>
      <c r="Y87" s="1"/>
      <c r="Z87" s="5">
        <f t="shared" si="36"/>
        <v>1.3129614941165917E-2</v>
      </c>
    </row>
    <row r="88" spans="1:26" s="24" customFormat="1" hidden="1" outlineLevel="2" x14ac:dyDescent="0.25">
      <c r="A88" s="27"/>
      <c r="B88" s="11" t="str">
        <f>CONCATENATE("          ", "6321", " - ", "BUILDING DEPRECIATION")</f>
        <v xml:space="preserve">          6321 - BUILDING DEPRECIATION</v>
      </c>
      <c r="C88" s="11"/>
      <c r="D88" s="7">
        <v>16396.52</v>
      </c>
      <c r="E88" s="2"/>
      <c r="F88" s="6">
        <f t="shared" si="29"/>
        <v>2.4202806234944668E-2</v>
      </c>
      <c r="G88" s="2"/>
      <c r="H88" s="7"/>
      <c r="I88" s="2"/>
      <c r="J88" s="6">
        <f t="shared" si="30"/>
        <v>0</v>
      </c>
      <c r="K88" s="2"/>
      <c r="L88" s="7">
        <f t="shared" si="31"/>
        <v>16396.52</v>
      </c>
      <c r="M88" s="2"/>
      <c r="N88" s="6">
        <f t="shared" si="32"/>
        <v>0</v>
      </c>
      <c r="O88" s="11"/>
      <c r="P88" s="7">
        <v>65586.080000000002</v>
      </c>
      <c r="Q88" s="2"/>
      <c r="R88" s="6">
        <f t="shared" si="33"/>
        <v>1.8174188340148188E-2</v>
      </c>
      <c r="S88" s="2"/>
      <c r="T88" s="7"/>
      <c r="U88" s="2"/>
      <c r="V88" s="6">
        <f t="shared" si="34"/>
        <v>0</v>
      </c>
      <c r="W88" s="2"/>
      <c r="X88" s="7">
        <f t="shared" si="35"/>
        <v>65586.080000000002</v>
      </c>
      <c r="Y88" s="2"/>
      <c r="Z88" s="6">
        <f t="shared" si="36"/>
        <v>0</v>
      </c>
    </row>
    <row r="89" spans="1:26" s="24" customFormat="1" hidden="1" outlineLevel="2" x14ac:dyDescent="0.25">
      <c r="A89" s="27"/>
      <c r="B89" s="11" t="str">
        <f>CONCATENATE("          ", "6322", " - ", "EQUIPMENT DEPRECIATION EXPENSE")</f>
        <v xml:space="preserve">          6322 - EQUIPMENT DEPRECIATION EXPENSE</v>
      </c>
      <c r="C89" s="11"/>
      <c r="D89" s="7">
        <v>14498.78</v>
      </c>
      <c r="E89" s="2"/>
      <c r="F89" s="6">
        <f t="shared" si="29"/>
        <v>2.1401563440479509E-2</v>
      </c>
      <c r="G89" s="2"/>
      <c r="H89" s="7">
        <v>30494</v>
      </c>
      <c r="I89" s="2"/>
      <c r="J89" s="6">
        <f t="shared" si="30"/>
        <v>6.1947819515574307E-2</v>
      </c>
      <c r="K89" s="2"/>
      <c r="L89" s="7">
        <f t="shared" si="31"/>
        <v>-15995.22</v>
      </c>
      <c r="M89" s="2"/>
      <c r="N89" s="6">
        <f t="shared" si="32"/>
        <v>-0.52453663015675212</v>
      </c>
      <c r="O89" s="11"/>
      <c r="P89" s="7">
        <v>58312.58</v>
      </c>
      <c r="Q89" s="2"/>
      <c r="R89" s="6">
        <f t="shared" si="33"/>
        <v>1.6158669820180722E-2</v>
      </c>
      <c r="S89" s="2"/>
      <c r="T89" s="7">
        <v>122293</v>
      </c>
      <c r="U89" s="2"/>
      <c r="V89" s="6">
        <f t="shared" si="34"/>
        <v>2.3176995581525722E-2</v>
      </c>
      <c r="W89" s="2"/>
      <c r="X89" s="7">
        <f t="shared" si="35"/>
        <v>-63980.42</v>
      </c>
      <c r="Y89" s="2"/>
      <c r="Z89" s="6">
        <f t="shared" si="36"/>
        <v>-0.52317319879306257</v>
      </c>
    </row>
    <row r="90" spans="1:26" s="28" customFormat="1" outlineLevel="1" collapsed="1" x14ac:dyDescent="0.25">
      <c r="A90" s="29"/>
      <c r="B90" s="14" t="str">
        <f>CONCATENATE("     ","Discounts and Markdowns                           ")</f>
        <v xml:space="preserve">     Discounts and Markdowns                           </v>
      </c>
      <c r="C90" s="14"/>
      <c r="D90" s="1">
        <f>SUM(OSRRefD22_6x_0)</f>
        <v>-43.75</v>
      </c>
      <c r="E90" s="1"/>
      <c r="F90" s="5">
        <f t="shared" ref="F90:F92" si="37">IF(D$12=0,0,D90/D$12)</f>
        <v>-6.4579116347787774E-5</v>
      </c>
      <c r="G90" s="1"/>
      <c r="H90" s="1">
        <f>SUM(OSRRefH22_6x_0)</f>
        <v>0</v>
      </c>
      <c r="I90" s="1"/>
      <c r="J90" s="5">
        <f t="shared" ref="J90:J92" si="38">IF(H$12=0,0,H90/H$12)</f>
        <v>0</v>
      </c>
      <c r="K90" s="1"/>
      <c r="L90" s="1">
        <f t="shared" ref="L90:L92" si="39">+D90-H90</f>
        <v>-43.75</v>
      </c>
      <c r="M90" s="1"/>
      <c r="N90" s="5">
        <f t="shared" ref="N90:N92" si="40">IF(H90=0,0,L90/H90)</f>
        <v>0</v>
      </c>
      <c r="O90" s="14"/>
      <c r="P90" s="1">
        <f>SUM(OSRRefP22_6x_0)</f>
        <v>-66.239999999999995</v>
      </c>
      <c r="Q90" s="1"/>
      <c r="R90" s="5">
        <f t="shared" ref="R90:R92" si="41">IF(P$12=0,0,P90/P$12)</f>
        <v>-1.8355392419419116E-5</v>
      </c>
      <c r="S90" s="1"/>
      <c r="T90" s="1">
        <f>SUM(OSRRefT22_6x_0)</f>
        <v>0</v>
      </c>
      <c r="U90" s="1"/>
      <c r="V90" s="5">
        <f t="shared" ref="V90:V92" si="42">IF(T$12=0,0,T90/T$12)</f>
        <v>0</v>
      </c>
      <c r="W90" s="1"/>
      <c r="X90" s="1">
        <f t="shared" ref="X90:X92" si="43">+P90-T90</f>
        <v>-66.239999999999995</v>
      </c>
      <c r="Y90" s="1"/>
      <c r="Z90" s="5">
        <f t="shared" ref="Z90:Z92" si="44">IF(T90=0,0,X90/T90)</f>
        <v>0</v>
      </c>
    </row>
    <row r="91" spans="1:26" s="24" customFormat="1" hidden="1" outlineLevel="2" x14ac:dyDescent="0.25">
      <c r="A91" s="27"/>
      <c r="B91" s="11" t="str">
        <f>CONCATENATE("          ", "6382", " - ", "DISCOUNTS/MARK DOWNS")</f>
        <v xml:space="preserve">          6382 - DISCOUNTS/MARK DOWNS</v>
      </c>
      <c r="C91" s="11"/>
      <c r="D91" s="7"/>
      <c r="E91" s="2"/>
      <c r="F91" s="6">
        <f t="shared" si="37"/>
        <v>0</v>
      </c>
      <c r="G91" s="2"/>
      <c r="H91" s="7"/>
      <c r="I91" s="2"/>
      <c r="J91" s="6">
        <f t="shared" si="38"/>
        <v>0</v>
      </c>
      <c r="K91" s="2"/>
      <c r="L91" s="7">
        <f t="shared" si="39"/>
        <v>0</v>
      </c>
      <c r="M91" s="2"/>
      <c r="N91" s="6">
        <f t="shared" si="40"/>
        <v>0</v>
      </c>
      <c r="O91" s="11"/>
      <c r="P91" s="7"/>
      <c r="Q91" s="2"/>
      <c r="R91" s="6">
        <f t="shared" si="41"/>
        <v>0</v>
      </c>
      <c r="S91" s="2"/>
      <c r="T91" s="7">
        <v>0</v>
      </c>
      <c r="U91" s="2"/>
      <c r="V91" s="6">
        <f t="shared" si="42"/>
        <v>0</v>
      </c>
      <c r="W91" s="2"/>
      <c r="X91" s="7">
        <f t="shared" si="43"/>
        <v>0</v>
      </c>
      <c r="Y91" s="2"/>
      <c r="Z91" s="6">
        <f t="shared" si="44"/>
        <v>0</v>
      </c>
    </row>
    <row r="92" spans="1:26" s="24" customFormat="1" hidden="1" outlineLevel="2" x14ac:dyDescent="0.25">
      <c r="A92" s="27"/>
      <c r="B92" s="11" t="str">
        <f>CONCATENATE("          ", "9175", " - ", "EARNED DISCOUNTS")</f>
        <v xml:space="preserve">          9175 - EARNED DISCOUNTS</v>
      </c>
      <c r="C92" s="11"/>
      <c r="D92" s="7">
        <v>-43.75</v>
      </c>
      <c r="E92" s="2"/>
      <c r="F92" s="6">
        <f t="shared" si="37"/>
        <v>-6.4579116347787774E-5</v>
      </c>
      <c r="G92" s="2"/>
      <c r="H92" s="7"/>
      <c r="I92" s="2"/>
      <c r="J92" s="6">
        <f t="shared" si="38"/>
        <v>0</v>
      </c>
      <c r="K92" s="2"/>
      <c r="L92" s="7">
        <f t="shared" si="39"/>
        <v>-43.75</v>
      </c>
      <c r="M92" s="2"/>
      <c r="N92" s="6">
        <f t="shared" si="40"/>
        <v>0</v>
      </c>
      <c r="O92" s="11"/>
      <c r="P92" s="7">
        <v>-66.239999999999995</v>
      </c>
      <c r="Q92" s="2"/>
      <c r="R92" s="6">
        <f t="shared" si="41"/>
        <v>-1.8355392419419116E-5</v>
      </c>
      <c r="S92" s="2"/>
      <c r="T92" s="7"/>
      <c r="U92" s="2"/>
      <c r="V92" s="6">
        <f t="shared" si="42"/>
        <v>0</v>
      </c>
      <c r="W92" s="2"/>
      <c r="X92" s="7">
        <f t="shared" si="43"/>
        <v>-66.239999999999995</v>
      </c>
      <c r="Y92" s="2"/>
      <c r="Z92" s="6">
        <f t="shared" si="44"/>
        <v>0</v>
      </c>
    </row>
    <row r="93" spans="1:26" s="28" customFormat="1" outlineLevel="1" collapsed="1" x14ac:dyDescent="0.25">
      <c r="A93" s="29"/>
      <c r="B93" s="14" t="str">
        <f>CONCATENATE("     ","Donations                                         ")</f>
        <v xml:space="preserve">     Donations                                         </v>
      </c>
      <c r="C93" s="14"/>
      <c r="D93" s="1">
        <f>SUM(OSRRefD22_7x_0)</f>
        <v>1483.48</v>
      </c>
      <c r="E93" s="1"/>
      <c r="F93" s="5">
        <f t="shared" ref="F93:F101" si="45">IF(D$12=0,0,D93/D$12)</f>
        <v>2.1897560575912275E-3</v>
      </c>
      <c r="G93" s="1"/>
      <c r="H93" s="1">
        <f>SUM(OSRRefH22_7x_0)</f>
        <v>1250</v>
      </c>
      <c r="I93" s="1"/>
      <c r="J93" s="5">
        <f t="shared" ref="J93:J101" si="46">IF(H$12=0,0,H93/H$12)</f>
        <v>2.5393446053147465E-3</v>
      </c>
      <c r="K93" s="1"/>
      <c r="L93" s="1">
        <f t="shared" ref="L93:L101" si="47">+D93-H93</f>
        <v>233.48000000000002</v>
      </c>
      <c r="M93" s="1"/>
      <c r="N93" s="5">
        <f t="shared" ref="N93:N101" si="48">IF(H93=0,0,L93/H93)</f>
        <v>0.18678400000000001</v>
      </c>
      <c r="O93" s="14"/>
      <c r="P93" s="1">
        <f>SUM(OSRRefP22_7x_0)</f>
        <v>1483.48</v>
      </c>
      <c r="Q93" s="1"/>
      <c r="R93" s="5">
        <f t="shared" ref="R93:R101" si="49">IF(P$12=0,0,P93/P$12)</f>
        <v>4.1107876730615752E-4</v>
      </c>
      <c r="S93" s="1"/>
      <c r="T93" s="1">
        <f>SUM(OSRRefT22_7x_0)</f>
        <v>5000</v>
      </c>
      <c r="U93" s="1"/>
      <c r="V93" s="5">
        <f t="shared" ref="V93:V101" si="50">IF(T$12=0,0,T93/T$12)</f>
        <v>9.4760107207794893E-4</v>
      </c>
      <c r="W93" s="1"/>
      <c r="X93" s="1">
        <f t="shared" ref="X93:X101" si="51">+P93-T93</f>
        <v>-3516.52</v>
      </c>
      <c r="Y93" s="1"/>
      <c r="Z93" s="5">
        <f t="shared" ref="Z93:Z101" si="52">IF(T93=0,0,X93/T93)</f>
        <v>-0.70330400000000004</v>
      </c>
    </row>
    <row r="94" spans="1:26" s="24" customFormat="1" hidden="1" outlineLevel="2" x14ac:dyDescent="0.25">
      <c r="A94" s="27"/>
      <c r="B94" s="11" t="str">
        <f>CONCATENATE("          ", "6399", " - ", "DONATION-ON CAMPUS")</f>
        <v xml:space="preserve">          6399 - DONATION-ON CAMPUS</v>
      </c>
      <c r="C94" s="11"/>
      <c r="D94" s="7">
        <v>1483.48</v>
      </c>
      <c r="E94" s="2"/>
      <c r="F94" s="6">
        <f t="shared" si="45"/>
        <v>2.1897560575912275E-3</v>
      </c>
      <c r="G94" s="2"/>
      <c r="H94" s="7">
        <v>1250</v>
      </c>
      <c r="I94" s="2"/>
      <c r="J94" s="6">
        <f t="shared" si="46"/>
        <v>2.5393446053147465E-3</v>
      </c>
      <c r="K94" s="2"/>
      <c r="L94" s="7">
        <f t="shared" si="47"/>
        <v>233.48000000000002</v>
      </c>
      <c r="M94" s="2"/>
      <c r="N94" s="6">
        <f t="shared" si="48"/>
        <v>0.18678400000000001</v>
      </c>
      <c r="O94" s="11"/>
      <c r="P94" s="7">
        <v>1483.48</v>
      </c>
      <c r="Q94" s="2"/>
      <c r="R94" s="6">
        <f t="shared" si="49"/>
        <v>4.1107876730615752E-4</v>
      </c>
      <c r="S94" s="2"/>
      <c r="T94" s="7">
        <v>5000</v>
      </c>
      <c r="U94" s="2"/>
      <c r="V94" s="6">
        <f t="shared" si="50"/>
        <v>9.4760107207794893E-4</v>
      </c>
      <c r="W94" s="2"/>
      <c r="X94" s="7">
        <f t="shared" si="51"/>
        <v>-3516.52</v>
      </c>
      <c r="Y94" s="2"/>
      <c r="Z94" s="6">
        <f t="shared" si="52"/>
        <v>-0.70330400000000004</v>
      </c>
    </row>
    <row r="95" spans="1:26" s="28" customFormat="1" outlineLevel="1" collapsed="1" x14ac:dyDescent="0.25">
      <c r="A95" s="29"/>
      <c r="B95" s="14" t="str">
        <f>CONCATENATE("     ","Employees' Appreciation                           ")</f>
        <v xml:space="preserve">     Employees' Appreciation                           </v>
      </c>
      <c r="C95" s="14"/>
      <c r="D95" s="1">
        <f>SUM(OSRRefD22_8x_0)</f>
        <v>0</v>
      </c>
      <c r="E95" s="1"/>
      <c r="F95" s="5">
        <f t="shared" si="45"/>
        <v>0</v>
      </c>
      <c r="G95" s="1"/>
      <c r="H95" s="1">
        <f>SUM(OSRRefH22_8x_0)</f>
        <v>245</v>
      </c>
      <c r="I95" s="1"/>
      <c r="J95" s="5">
        <f t="shared" si="46"/>
        <v>4.9771154264169034E-4</v>
      </c>
      <c r="K95" s="1"/>
      <c r="L95" s="1">
        <f t="shared" si="47"/>
        <v>-245</v>
      </c>
      <c r="M95" s="1"/>
      <c r="N95" s="5">
        <f t="shared" si="48"/>
        <v>-1</v>
      </c>
      <c r="O95" s="14"/>
      <c r="P95" s="1">
        <f>SUM(OSRRefP22_8x_0)</f>
        <v>1384.63</v>
      </c>
      <c r="Q95" s="1"/>
      <c r="R95" s="5">
        <f t="shared" si="49"/>
        <v>3.8368700189764942E-4</v>
      </c>
      <c r="S95" s="1"/>
      <c r="T95" s="1">
        <f>SUM(OSRRefT22_8x_0)</f>
        <v>980</v>
      </c>
      <c r="U95" s="1"/>
      <c r="V95" s="5">
        <f t="shared" si="50"/>
        <v>1.8572981012727799E-4</v>
      </c>
      <c r="W95" s="1"/>
      <c r="X95" s="1">
        <f t="shared" si="51"/>
        <v>404.63000000000011</v>
      </c>
      <c r="Y95" s="1"/>
      <c r="Z95" s="5">
        <f t="shared" si="52"/>
        <v>0.41288775510204095</v>
      </c>
    </row>
    <row r="96" spans="1:26" s="24" customFormat="1" hidden="1" outlineLevel="2" x14ac:dyDescent="0.25">
      <c r="A96" s="27"/>
      <c r="B96" s="11" t="str">
        <f>CONCATENATE("          ", "6277", " - ", "EMPLOYEE APPRECIATION")</f>
        <v xml:space="preserve">          6277 - EMPLOYEE APPRECIATION</v>
      </c>
      <c r="C96" s="11"/>
      <c r="D96" s="7"/>
      <c r="E96" s="2"/>
      <c r="F96" s="6">
        <f t="shared" si="45"/>
        <v>0</v>
      </c>
      <c r="G96" s="2"/>
      <c r="H96" s="7">
        <v>245</v>
      </c>
      <c r="I96" s="2"/>
      <c r="J96" s="6">
        <f t="shared" si="46"/>
        <v>4.9771154264169034E-4</v>
      </c>
      <c r="K96" s="2"/>
      <c r="L96" s="7">
        <f t="shared" si="47"/>
        <v>-245</v>
      </c>
      <c r="M96" s="2"/>
      <c r="N96" s="6">
        <f t="shared" si="48"/>
        <v>-1</v>
      </c>
      <c r="O96" s="11"/>
      <c r="P96" s="7">
        <v>1384.63</v>
      </c>
      <c r="Q96" s="2"/>
      <c r="R96" s="6">
        <f t="shared" si="49"/>
        <v>3.8368700189764942E-4</v>
      </c>
      <c r="S96" s="2"/>
      <c r="T96" s="7">
        <v>980</v>
      </c>
      <c r="U96" s="2"/>
      <c r="V96" s="6">
        <f t="shared" si="50"/>
        <v>1.8572981012727799E-4</v>
      </c>
      <c r="W96" s="2"/>
      <c r="X96" s="7">
        <f t="shared" si="51"/>
        <v>404.63000000000011</v>
      </c>
      <c r="Y96" s="2"/>
      <c r="Z96" s="6">
        <f t="shared" si="52"/>
        <v>0.41288775510204095</v>
      </c>
    </row>
    <row r="97" spans="1:26" s="28" customFormat="1" outlineLevel="1" collapsed="1" x14ac:dyDescent="0.25">
      <c r="A97" s="29"/>
      <c r="B97" s="14" t="str">
        <f>CONCATENATE("     ","Equipment Rental                                  ")</f>
        <v xml:space="preserve">     Equipment Rental                                  </v>
      </c>
      <c r="C97" s="14"/>
      <c r="D97" s="1">
        <f>SUM(OSRRefD22_9x_0)</f>
        <v>1531.35</v>
      </c>
      <c r="E97" s="1"/>
      <c r="F97" s="5">
        <f t="shared" si="45"/>
        <v>2.2604166815813668E-3</v>
      </c>
      <c r="G97" s="1"/>
      <c r="H97" s="1">
        <f>SUM(OSRRefH22_9x_0)</f>
        <v>1700</v>
      </c>
      <c r="I97" s="1"/>
      <c r="J97" s="5">
        <f t="shared" si="46"/>
        <v>3.4535086632280555E-3</v>
      </c>
      <c r="K97" s="1"/>
      <c r="L97" s="1">
        <f t="shared" si="47"/>
        <v>-168.65000000000009</v>
      </c>
      <c r="M97" s="1"/>
      <c r="N97" s="5">
        <f t="shared" si="48"/>
        <v>-9.9205882352941227E-2</v>
      </c>
      <c r="O97" s="14"/>
      <c r="P97" s="1">
        <f>SUM(OSRRefP22_9x_0)</f>
        <v>6611.4</v>
      </c>
      <c r="Q97" s="1"/>
      <c r="R97" s="5">
        <f t="shared" si="49"/>
        <v>1.8320477270795223E-3</v>
      </c>
      <c r="S97" s="1"/>
      <c r="T97" s="1">
        <f>SUM(OSRRefT22_9x_0)</f>
        <v>6600</v>
      </c>
      <c r="U97" s="1"/>
      <c r="V97" s="5">
        <f t="shared" si="50"/>
        <v>1.2508334151428925E-3</v>
      </c>
      <c r="W97" s="1"/>
      <c r="X97" s="1">
        <f t="shared" si="51"/>
        <v>11.399999999999636</v>
      </c>
      <c r="Y97" s="1"/>
      <c r="Z97" s="5">
        <f t="shared" si="52"/>
        <v>1.7272727272726722E-3</v>
      </c>
    </row>
    <row r="98" spans="1:26" s="24" customFormat="1" hidden="1" outlineLevel="2" x14ac:dyDescent="0.25">
      <c r="A98" s="27"/>
      <c r="B98" s="11" t="str">
        <f>CONCATENATE("          ", "6351", " - ", "EQUIPMENT RENTAL")</f>
        <v xml:space="preserve">          6351 - EQUIPMENT RENTAL</v>
      </c>
      <c r="C98" s="11"/>
      <c r="D98" s="7">
        <v>1531.35</v>
      </c>
      <c r="E98" s="2"/>
      <c r="F98" s="6">
        <f t="shared" si="45"/>
        <v>2.2604166815813668E-3</v>
      </c>
      <c r="G98" s="2"/>
      <c r="H98" s="7">
        <v>1700</v>
      </c>
      <c r="I98" s="2"/>
      <c r="J98" s="6">
        <f t="shared" si="46"/>
        <v>3.4535086632280555E-3</v>
      </c>
      <c r="K98" s="2"/>
      <c r="L98" s="7">
        <f t="shared" si="47"/>
        <v>-168.65000000000009</v>
      </c>
      <c r="M98" s="2"/>
      <c r="N98" s="6">
        <f t="shared" si="48"/>
        <v>-9.9205882352941227E-2</v>
      </c>
      <c r="O98" s="11"/>
      <c r="P98" s="7">
        <v>6611.4</v>
      </c>
      <c r="Q98" s="2"/>
      <c r="R98" s="6">
        <f t="shared" si="49"/>
        <v>1.8320477270795223E-3</v>
      </c>
      <c r="S98" s="2"/>
      <c r="T98" s="7">
        <v>6600</v>
      </c>
      <c r="U98" s="2"/>
      <c r="V98" s="6">
        <f t="shared" si="50"/>
        <v>1.2508334151428925E-3</v>
      </c>
      <c r="W98" s="2"/>
      <c r="X98" s="7">
        <f t="shared" si="51"/>
        <v>11.399999999999636</v>
      </c>
      <c r="Y98" s="2"/>
      <c r="Z98" s="6">
        <f t="shared" si="52"/>
        <v>1.7272727272726722E-3</v>
      </c>
    </row>
    <row r="99" spans="1:26" s="28" customFormat="1" outlineLevel="1" collapsed="1" x14ac:dyDescent="0.25">
      <c r="A99" s="29"/>
      <c r="B99" s="14" t="str">
        <f>CONCATENATE("     ","Freight out/Postage                               ")</f>
        <v xml:space="preserve">     Freight out/Postage                               </v>
      </c>
      <c r="C99" s="14"/>
      <c r="D99" s="1">
        <f>SUM(OSRRefD22_10x_0)</f>
        <v>-23514.07</v>
      </c>
      <c r="E99" s="1"/>
      <c r="F99" s="5">
        <f t="shared" si="45"/>
        <v>-3.4708979710629168E-2</v>
      </c>
      <c r="G99" s="1"/>
      <c r="H99" s="1">
        <f>SUM(OSRRefH22_10x_0)</f>
        <v>45265</v>
      </c>
      <c r="I99" s="1"/>
      <c r="J99" s="5">
        <f t="shared" si="46"/>
        <v>9.1954746847657601E-2</v>
      </c>
      <c r="K99" s="1"/>
      <c r="L99" s="1">
        <f t="shared" si="47"/>
        <v>-68779.070000000007</v>
      </c>
      <c r="M99" s="1"/>
      <c r="N99" s="5">
        <f t="shared" si="48"/>
        <v>-1.5194757538937371</v>
      </c>
      <c r="O99" s="14"/>
      <c r="P99" s="1">
        <f>SUM(OSRRefP22_10x_0)</f>
        <v>-35527.499999999993</v>
      </c>
      <c r="Q99" s="1"/>
      <c r="R99" s="5">
        <f t="shared" si="49"/>
        <v>-9.8448249423446956E-3</v>
      </c>
      <c r="S99" s="1"/>
      <c r="T99" s="1">
        <f>SUM(OSRRefT22_10x_0)</f>
        <v>-1940</v>
      </c>
      <c r="U99" s="1"/>
      <c r="V99" s="5">
        <f t="shared" si="50"/>
        <v>-3.6766921596624418E-4</v>
      </c>
      <c r="W99" s="1"/>
      <c r="X99" s="1">
        <f t="shared" si="51"/>
        <v>-33587.499999999993</v>
      </c>
      <c r="Y99" s="1"/>
      <c r="Z99" s="5">
        <f t="shared" si="52"/>
        <v>17.313144329896904</v>
      </c>
    </row>
    <row r="100" spans="1:26" s="24" customFormat="1" hidden="1" outlineLevel="2" x14ac:dyDescent="0.25">
      <c r="A100" s="27"/>
      <c r="B100" s="11" t="str">
        <f>CONCATENATE("          ", "6305", " - ", "FREIGHT OUT")</f>
        <v xml:space="preserve">          6305 - FREIGHT OUT</v>
      </c>
      <c r="C100" s="11"/>
      <c r="D100" s="7">
        <v>26190.5</v>
      </c>
      <c r="E100" s="2"/>
      <c r="F100" s="6">
        <f t="shared" si="45"/>
        <v>3.8659642210439674E-2</v>
      </c>
      <c r="G100" s="2"/>
      <c r="H100" s="7">
        <v>56865</v>
      </c>
      <c r="I100" s="2"/>
      <c r="J100" s="6">
        <f t="shared" si="46"/>
        <v>0.11551986478497846</v>
      </c>
      <c r="K100" s="2"/>
      <c r="L100" s="7">
        <f t="shared" si="47"/>
        <v>-30674.5</v>
      </c>
      <c r="M100" s="2"/>
      <c r="N100" s="6">
        <f t="shared" si="48"/>
        <v>-0.53942671238899143</v>
      </c>
      <c r="O100" s="11"/>
      <c r="P100" s="7">
        <v>54886.68</v>
      </c>
      <c r="Q100" s="2"/>
      <c r="R100" s="6">
        <f t="shared" si="49"/>
        <v>1.520933801327118E-2</v>
      </c>
      <c r="S100" s="2"/>
      <c r="T100" s="7">
        <v>74960</v>
      </c>
      <c r="U100" s="2"/>
      <c r="V100" s="6">
        <f t="shared" si="50"/>
        <v>1.420643527259261E-2</v>
      </c>
      <c r="W100" s="2"/>
      <c r="X100" s="7">
        <f t="shared" si="51"/>
        <v>-20073.32</v>
      </c>
      <c r="Y100" s="2"/>
      <c r="Z100" s="6">
        <f t="shared" si="52"/>
        <v>-0.26778708644610461</v>
      </c>
    </row>
    <row r="101" spans="1:26" s="24" customFormat="1" hidden="1" outlineLevel="2" x14ac:dyDescent="0.25">
      <c r="A101" s="27"/>
      <c r="B101" s="11" t="str">
        <f>CONCATENATE("          ", "6307", " - ", "POSTAGE")</f>
        <v xml:space="preserve">          6307 - POSTAGE</v>
      </c>
      <c r="C101" s="11"/>
      <c r="D101" s="7">
        <v>-49704.57</v>
      </c>
      <c r="E101" s="2"/>
      <c r="F101" s="6">
        <f t="shared" si="45"/>
        <v>-7.3368621921068841E-2</v>
      </c>
      <c r="G101" s="2"/>
      <c r="H101" s="7">
        <v>-11600</v>
      </c>
      <c r="I101" s="2"/>
      <c r="J101" s="6">
        <f t="shared" si="46"/>
        <v>-2.3565117937320849E-2</v>
      </c>
      <c r="K101" s="2"/>
      <c r="L101" s="7">
        <f t="shared" si="47"/>
        <v>-38104.57</v>
      </c>
      <c r="M101" s="2"/>
      <c r="N101" s="6">
        <f t="shared" si="48"/>
        <v>3.2848767241379311</v>
      </c>
      <c r="O101" s="11"/>
      <c r="P101" s="7">
        <v>-90414.18</v>
      </c>
      <c r="Q101" s="2"/>
      <c r="R101" s="6">
        <f t="shared" si="49"/>
        <v>-2.5054162955615876E-2</v>
      </c>
      <c r="S101" s="2"/>
      <c r="T101" s="7">
        <v>-76900</v>
      </c>
      <c r="U101" s="2"/>
      <c r="V101" s="6">
        <f t="shared" si="50"/>
        <v>-1.4574104488558854E-2</v>
      </c>
      <c r="W101" s="2"/>
      <c r="X101" s="7">
        <f t="shared" si="51"/>
        <v>-13514.179999999993</v>
      </c>
      <c r="Y101" s="2"/>
      <c r="Z101" s="6">
        <f t="shared" si="52"/>
        <v>0.1757370611183354</v>
      </c>
    </row>
    <row r="102" spans="1:26" s="28" customFormat="1" outlineLevel="1" collapsed="1" x14ac:dyDescent="0.25">
      <c r="A102" s="29"/>
      <c r="B102" s="14" t="str">
        <f>CONCATENATE("     ","General                                           ")</f>
        <v xml:space="preserve">     General                                           </v>
      </c>
      <c r="C102" s="14"/>
      <c r="D102" s="1">
        <f>SUM(OSRRefD22_11x_0)</f>
        <v>327.5</v>
      </c>
      <c r="E102" s="1"/>
      <c r="F102" s="5">
        <f t="shared" ref="F102:F104" si="53">IF(D$12=0,0,D102/D$12)</f>
        <v>4.8342081380343992E-4</v>
      </c>
      <c r="G102" s="1"/>
      <c r="H102" s="1">
        <f>SUM(OSRRefH22_11x_0)</f>
        <v>230</v>
      </c>
      <c r="I102" s="1"/>
      <c r="J102" s="5">
        <f t="shared" ref="J102:J104" si="54">IF(H$12=0,0,H102/H$12)</f>
        <v>4.672394073779134E-4</v>
      </c>
      <c r="K102" s="1"/>
      <c r="L102" s="1">
        <f t="shared" ref="L102:L104" si="55">+D102-H102</f>
        <v>97.5</v>
      </c>
      <c r="M102" s="1"/>
      <c r="N102" s="5">
        <f t="shared" ref="N102:N104" si="56">IF(H102=0,0,L102/H102)</f>
        <v>0.42391304347826086</v>
      </c>
      <c r="O102" s="14"/>
      <c r="P102" s="1">
        <f>SUM(OSRRefP22_11x_0)</f>
        <v>2194.1</v>
      </c>
      <c r="Q102" s="1"/>
      <c r="R102" s="5">
        <f t="shared" ref="R102:R104" si="57">IF(P$12=0,0,P102/P$12)</f>
        <v>6.0799466345784253E-4</v>
      </c>
      <c r="S102" s="1"/>
      <c r="T102" s="1">
        <f>SUM(OSRRefT22_11x_0)</f>
        <v>1170</v>
      </c>
      <c r="U102" s="1"/>
      <c r="V102" s="5">
        <f t="shared" ref="V102:V104" si="58">IF(T$12=0,0,T102/T$12)</f>
        <v>2.2173865086624005E-4</v>
      </c>
      <c r="W102" s="1"/>
      <c r="X102" s="1">
        <f t="shared" ref="X102:X104" si="59">+P102-T102</f>
        <v>1024.0999999999999</v>
      </c>
      <c r="Y102" s="1"/>
      <c r="Z102" s="5">
        <f t="shared" ref="Z102:Z104" si="60">IF(T102=0,0,X102/T102)</f>
        <v>0.87529914529914521</v>
      </c>
    </row>
    <row r="103" spans="1:26" s="24" customFormat="1" hidden="1" outlineLevel="2" x14ac:dyDescent="0.25">
      <c r="A103" s="27"/>
      <c r="B103" s="11" t="str">
        <f>CONCATENATE("          ", "6276", " - ", "PROPERTY TAX")</f>
        <v xml:space="preserve">          6276 - PROPERTY TAX</v>
      </c>
      <c r="C103" s="11"/>
      <c r="D103" s="7"/>
      <c r="E103" s="2"/>
      <c r="F103" s="6">
        <f t="shared" si="53"/>
        <v>0</v>
      </c>
      <c r="G103" s="2"/>
      <c r="H103" s="7"/>
      <c r="I103" s="2"/>
      <c r="J103" s="6">
        <f t="shared" si="54"/>
        <v>0</v>
      </c>
      <c r="K103" s="2"/>
      <c r="L103" s="7">
        <f t="shared" si="55"/>
        <v>0</v>
      </c>
      <c r="M103" s="2"/>
      <c r="N103" s="6">
        <f t="shared" si="56"/>
        <v>0</v>
      </c>
      <c r="O103" s="11"/>
      <c r="P103" s="7"/>
      <c r="Q103" s="2"/>
      <c r="R103" s="6">
        <f t="shared" si="57"/>
        <v>0</v>
      </c>
      <c r="S103" s="2"/>
      <c r="T103" s="7">
        <v>125</v>
      </c>
      <c r="U103" s="2"/>
      <c r="V103" s="6">
        <f t="shared" si="58"/>
        <v>2.3690026801948724E-5</v>
      </c>
      <c r="W103" s="2"/>
      <c r="X103" s="7">
        <f t="shared" si="59"/>
        <v>-125</v>
      </c>
      <c r="Y103" s="2"/>
      <c r="Z103" s="6">
        <f t="shared" si="60"/>
        <v>-1</v>
      </c>
    </row>
    <row r="104" spans="1:26" s="24" customFormat="1" hidden="1" outlineLevel="2" x14ac:dyDescent="0.25">
      <c r="A104" s="27"/>
      <c r="B104" s="11" t="str">
        <f>CONCATENATE("          ", "6279", " - ", "GENERAL EXPENSE")</f>
        <v xml:space="preserve">          6279 - GENERAL EXPENSE</v>
      </c>
      <c r="C104" s="11"/>
      <c r="D104" s="7">
        <v>327.5</v>
      </c>
      <c r="E104" s="2"/>
      <c r="F104" s="6">
        <f t="shared" si="53"/>
        <v>4.8342081380343992E-4</v>
      </c>
      <c r="G104" s="2"/>
      <c r="H104" s="7">
        <v>230</v>
      </c>
      <c r="I104" s="2"/>
      <c r="J104" s="6">
        <f t="shared" si="54"/>
        <v>4.672394073779134E-4</v>
      </c>
      <c r="K104" s="2"/>
      <c r="L104" s="7">
        <f t="shared" si="55"/>
        <v>97.5</v>
      </c>
      <c r="M104" s="2"/>
      <c r="N104" s="6">
        <f t="shared" si="56"/>
        <v>0.42391304347826086</v>
      </c>
      <c r="O104" s="11"/>
      <c r="P104" s="7">
        <v>2194.1</v>
      </c>
      <c r="Q104" s="2"/>
      <c r="R104" s="6">
        <f t="shared" si="57"/>
        <v>6.0799466345784253E-4</v>
      </c>
      <c r="S104" s="2"/>
      <c r="T104" s="7">
        <v>1045</v>
      </c>
      <c r="U104" s="2"/>
      <c r="V104" s="6">
        <f t="shared" si="58"/>
        <v>1.9804862406429133E-4</v>
      </c>
      <c r="W104" s="2"/>
      <c r="X104" s="7">
        <f t="shared" si="59"/>
        <v>1149.0999999999999</v>
      </c>
      <c r="Y104" s="2"/>
      <c r="Z104" s="6">
        <f t="shared" si="60"/>
        <v>1.0996172248803826</v>
      </c>
    </row>
    <row r="105" spans="1:26" s="28" customFormat="1" outlineLevel="1" collapsed="1" x14ac:dyDescent="0.25">
      <c r="A105" s="29"/>
      <c r="B105" s="14" t="str">
        <f>CONCATENATE("     ","Insurance                                         ")</f>
        <v xml:space="preserve">     Insurance                                         </v>
      </c>
      <c r="C105" s="14"/>
      <c r="D105" s="1">
        <f>SUM(OSRRefD22_12x_0)</f>
        <v>5494.57</v>
      </c>
      <c r="E105" s="1"/>
      <c r="F105" s="5">
        <f t="shared" ref="F105:F117" si="61">IF(D$12=0,0,D105/D$12)</f>
        <v>8.1105022928243259E-3</v>
      </c>
      <c r="G105" s="1"/>
      <c r="H105" s="1">
        <f>SUM(OSRRefH22_12x_0)</f>
        <v>5375</v>
      </c>
      <c r="I105" s="1"/>
      <c r="J105" s="5">
        <f t="shared" ref="J105:J117" si="62">IF(H$12=0,0,H105/H$12)</f>
        <v>1.0919181802853411E-2</v>
      </c>
      <c r="K105" s="1"/>
      <c r="L105" s="1">
        <f t="shared" ref="L105:L117" si="63">+D105-H105</f>
        <v>119.56999999999971</v>
      </c>
      <c r="M105" s="1"/>
      <c r="N105" s="5">
        <f t="shared" ref="N105:N117" si="64">IF(H105=0,0,L105/H105)</f>
        <v>2.2245581395348782E-2</v>
      </c>
      <c r="O105" s="14"/>
      <c r="P105" s="1">
        <f>SUM(OSRRefP22_12x_0)</f>
        <v>21978.28</v>
      </c>
      <c r="Q105" s="1"/>
      <c r="R105" s="5">
        <f t="shared" ref="R105:R117" si="65">IF(P$12=0,0,P105/P$12)</f>
        <v>6.0902770849014312E-3</v>
      </c>
      <c r="S105" s="1"/>
      <c r="T105" s="1">
        <f>SUM(OSRRefT22_12x_0)</f>
        <v>21500</v>
      </c>
      <c r="U105" s="1"/>
      <c r="V105" s="5">
        <f t="shared" ref="V105:V117" si="66">IF(T$12=0,0,T105/T$12)</f>
        <v>4.0746846099351799E-3</v>
      </c>
      <c r="W105" s="1"/>
      <c r="X105" s="1">
        <f t="shared" ref="X105:X117" si="67">+P105-T105</f>
        <v>478.27999999999884</v>
      </c>
      <c r="Y105" s="1"/>
      <c r="Z105" s="5">
        <f t="shared" ref="Z105:Z117" si="68">IF(T105=0,0,X105/T105)</f>
        <v>2.2245581395348782E-2</v>
      </c>
    </row>
    <row r="106" spans="1:26" s="24" customFormat="1" hidden="1" outlineLevel="2" x14ac:dyDescent="0.25">
      <c r="A106" s="27"/>
      <c r="B106" s="11" t="str">
        <f>CONCATENATE("          ", "6314", " - ", "LIABILITY INSURANCE")</f>
        <v xml:space="preserve">          6314 - LIABILITY INSURANCE</v>
      </c>
      <c r="C106" s="11"/>
      <c r="D106" s="7">
        <v>5494.57</v>
      </c>
      <c r="E106" s="2"/>
      <c r="F106" s="6">
        <f t="shared" si="61"/>
        <v>8.1105022928243259E-3</v>
      </c>
      <c r="G106" s="2"/>
      <c r="H106" s="7">
        <v>5375</v>
      </c>
      <c r="I106" s="2"/>
      <c r="J106" s="6">
        <f t="shared" si="62"/>
        <v>1.0919181802853411E-2</v>
      </c>
      <c r="K106" s="2"/>
      <c r="L106" s="7">
        <f t="shared" si="63"/>
        <v>119.56999999999971</v>
      </c>
      <c r="M106" s="2"/>
      <c r="N106" s="6">
        <f t="shared" si="64"/>
        <v>2.2245581395348782E-2</v>
      </c>
      <c r="O106" s="11"/>
      <c r="P106" s="7">
        <v>21978.28</v>
      </c>
      <c r="Q106" s="2"/>
      <c r="R106" s="6">
        <f t="shared" si="65"/>
        <v>6.0902770849014312E-3</v>
      </c>
      <c r="S106" s="2"/>
      <c r="T106" s="7">
        <v>21500</v>
      </c>
      <c r="U106" s="2"/>
      <c r="V106" s="6">
        <f t="shared" si="66"/>
        <v>4.0746846099351799E-3</v>
      </c>
      <c r="W106" s="2"/>
      <c r="X106" s="7">
        <f t="shared" si="67"/>
        <v>478.27999999999884</v>
      </c>
      <c r="Y106" s="2"/>
      <c r="Z106" s="6">
        <f t="shared" si="68"/>
        <v>2.2245581395348782E-2</v>
      </c>
    </row>
    <row r="107" spans="1:26" s="28" customFormat="1" outlineLevel="1" collapsed="1" x14ac:dyDescent="0.25">
      <c r="A107" s="29"/>
      <c r="B107" s="14" t="str">
        <f>CONCATENATE("     ","Inventory Adjustment                              ")</f>
        <v xml:space="preserve">     Inventory Adjustment                              </v>
      </c>
      <c r="C107" s="14"/>
      <c r="D107" s="1">
        <f>SUM(OSRRefD22_13x_0)</f>
        <v>5690</v>
      </c>
      <c r="E107" s="1"/>
      <c r="F107" s="5">
        <f t="shared" si="61"/>
        <v>8.3989753604322842E-3</v>
      </c>
      <c r="G107" s="1"/>
      <c r="H107" s="1">
        <f>SUM(OSRRefH22_13x_0)</f>
        <v>5690</v>
      </c>
      <c r="I107" s="1"/>
      <c r="J107" s="5">
        <f t="shared" si="62"/>
        <v>1.1559096643392728E-2</v>
      </c>
      <c r="K107" s="1"/>
      <c r="L107" s="1">
        <f t="shared" si="63"/>
        <v>0</v>
      </c>
      <c r="M107" s="1"/>
      <c r="N107" s="5">
        <f t="shared" si="64"/>
        <v>0</v>
      </c>
      <c r="O107" s="14"/>
      <c r="P107" s="1">
        <f>SUM(OSRRefP22_13x_0)</f>
        <v>25070</v>
      </c>
      <c r="Q107" s="1"/>
      <c r="R107" s="5">
        <f t="shared" si="65"/>
        <v>6.9470061587384863E-3</v>
      </c>
      <c r="S107" s="1"/>
      <c r="T107" s="1">
        <f>SUM(OSRRefT22_13x_0)</f>
        <v>25780</v>
      </c>
      <c r="U107" s="1"/>
      <c r="V107" s="5">
        <f t="shared" si="66"/>
        <v>4.8858311276339045E-3</v>
      </c>
      <c r="W107" s="1"/>
      <c r="X107" s="1">
        <f t="shared" si="67"/>
        <v>-710</v>
      </c>
      <c r="Y107" s="1"/>
      <c r="Z107" s="5">
        <f t="shared" si="68"/>
        <v>-2.7540729247478666E-2</v>
      </c>
    </row>
    <row r="108" spans="1:26" s="24" customFormat="1" hidden="1" outlineLevel="2" x14ac:dyDescent="0.25">
      <c r="A108" s="27"/>
      <c r="B108" s="11" t="str">
        <f>CONCATENATE("          ", "6408", " - ", "INVENTORY ADJUSTMENT")</f>
        <v xml:space="preserve">          6408 - INVENTORY ADJUSTMENT</v>
      </c>
      <c r="C108" s="11"/>
      <c r="D108" s="7">
        <v>5690</v>
      </c>
      <c r="E108" s="2"/>
      <c r="F108" s="6">
        <f t="shared" si="61"/>
        <v>8.3989753604322842E-3</v>
      </c>
      <c r="G108" s="2"/>
      <c r="H108" s="7">
        <v>5690</v>
      </c>
      <c r="I108" s="2"/>
      <c r="J108" s="6">
        <f t="shared" si="62"/>
        <v>1.1559096643392728E-2</v>
      </c>
      <c r="K108" s="2"/>
      <c r="L108" s="7">
        <f t="shared" si="63"/>
        <v>0</v>
      </c>
      <c r="M108" s="2"/>
      <c r="N108" s="6">
        <f t="shared" si="64"/>
        <v>0</v>
      </c>
      <c r="O108" s="11"/>
      <c r="P108" s="7">
        <v>25070</v>
      </c>
      <c r="Q108" s="2"/>
      <c r="R108" s="6">
        <f t="shared" si="65"/>
        <v>6.9470061587384863E-3</v>
      </c>
      <c r="S108" s="2"/>
      <c r="T108" s="7">
        <v>25780</v>
      </c>
      <c r="U108" s="2"/>
      <c r="V108" s="6">
        <f t="shared" si="66"/>
        <v>4.8858311276339045E-3</v>
      </c>
      <c r="W108" s="2"/>
      <c r="X108" s="7">
        <f t="shared" si="67"/>
        <v>-710</v>
      </c>
      <c r="Y108" s="2"/>
      <c r="Z108" s="6">
        <f t="shared" si="68"/>
        <v>-2.7540729247478666E-2</v>
      </c>
    </row>
    <row r="109" spans="1:26" s="28" customFormat="1" outlineLevel="1" collapsed="1" x14ac:dyDescent="0.25">
      <c r="A109" s="29"/>
      <c r="B109" s="14" t="str">
        <f>CONCATENATE("     ","Professional Services                             ")</f>
        <v xml:space="preserve">     Professional Services                             </v>
      </c>
      <c r="C109" s="14"/>
      <c r="D109" s="1">
        <f>SUM(OSRRefD22_14x_0)</f>
        <v>8186.53</v>
      </c>
      <c r="E109" s="1"/>
      <c r="F109" s="5">
        <f t="shared" si="61"/>
        <v>1.2084088533820687E-2</v>
      </c>
      <c r="G109" s="1"/>
      <c r="H109" s="1">
        <f>SUM(OSRRefH22_14x_0)</f>
        <v>250</v>
      </c>
      <c r="I109" s="1"/>
      <c r="J109" s="5">
        <f t="shared" si="62"/>
        <v>5.078689210629493E-4</v>
      </c>
      <c r="K109" s="1"/>
      <c r="L109" s="1">
        <f t="shared" si="63"/>
        <v>7936.53</v>
      </c>
      <c r="M109" s="1"/>
      <c r="N109" s="5">
        <f t="shared" si="64"/>
        <v>31.746119999999998</v>
      </c>
      <c r="O109" s="14"/>
      <c r="P109" s="1">
        <f>SUM(OSRRefP22_14x_0)</f>
        <v>8186.53</v>
      </c>
      <c r="Q109" s="1"/>
      <c r="R109" s="5">
        <f t="shared" si="65"/>
        <v>2.2685231084442511E-3</v>
      </c>
      <c r="S109" s="1"/>
      <c r="T109" s="1">
        <f>SUM(OSRRefT22_14x_0)</f>
        <v>1250</v>
      </c>
      <c r="U109" s="1"/>
      <c r="V109" s="5">
        <f t="shared" si="66"/>
        <v>2.3690026801948723E-4</v>
      </c>
      <c r="W109" s="1"/>
      <c r="X109" s="1">
        <f t="shared" si="67"/>
        <v>6936.53</v>
      </c>
      <c r="Y109" s="1"/>
      <c r="Z109" s="5">
        <f t="shared" si="68"/>
        <v>5.5492239999999997</v>
      </c>
    </row>
    <row r="110" spans="1:26" s="24" customFormat="1" hidden="1" outlineLevel="2" x14ac:dyDescent="0.25">
      <c r="A110" s="27"/>
      <c r="B110" s="11" t="str">
        <f>CONCATENATE("          ", "6336", " - ", "PROFESSIONAL SERVICES")</f>
        <v xml:space="preserve">          6336 - PROFESSIONAL SERVICES</v>
      </c>
      <c r="C110" s="11"/>
      <c r="D110" s="7">
        <v>8186.53</v>
      </c>
      <c r="E110" s="2"/>
      <c r="F110" s="6">
        <f t="shared" si="61"/>
        <v>1.2084088533820687E-2</v>
      </c>
      <c r="G110" s="2"/>
      <c r="H110" s="7">
        <v>250</v>
      </c>
      <c r="I110" s="2"/>
      <c r="J110" s="6">
        <f t="shared" si="62"/>
        <v>5.078689210629493E-4</v>
      </c>
      <c r="K110" s="2"/>
      <c r="L110" s="7">
        <f t="shared" si="63"/>
        <v>7936.53</v>
      </c>
      <c r="M110" s="2"/>
      <c r="N110" s="6">
        <f t="shared" si="64"/>
        <v>31.746119999999998</v>
      </c>
      <c r="O110" s="11"/>
      <c r="P110" s="7">
        <v>8186.53</v>
      </c>
      <c r="Q110" s="2"/>
      <c r="R110" s="6">
        <f t="shared" si="65"/>
        <v>2.2685231084442511E-3</v>
      </c>
      <c r="S110" s="2"/>
      <c r="T110" s="7">
        <v>1250</v>
      </c>
      <c r="U110" s="2"/>
      <c r="V110" s="6">
        <f t="shared" si="66"/>
        <v>2.3690026801948723E-4</v>
      </c>
      <c r="W110" s="2"/>
      <c r="X110" s="7">
        <f t="shared" si="67"/>
        <v>6936.53</v>
      </c>
      <c r="Y110" s="2"/>
      <c r="Z110" s="6">
        <f t="shared" si="68"/>
        <v>5.5492239999999997</v>
      </c>
    </row>
    <row r="111" spans="1:26" s="28" customFormat="1" outlineLevel="1" collapsed="1" x14ac:dyDescent="0.25">
      <c r="A111" s="29"/>
      <c r="B111" s="14" t="str">
        <f>CONCATENATE("     ","Rent                                              ")</f>
        <v xml:space="preserve">     Rent                                              </v>
      </c>
      <c r="C111" s="14"/>
      <c r="D111" s="1">
        <f>SUM(OSRRefD22_15x_0)</f>
        <v>6100</v>
      </c>
      <c r="E111" s="1"/>
      <c r="F111" s="5">
        <f t="shared" si="61"/>
        <v>9.0041739364915534E-3</v>
      </c>
      <c r="G111" s="1"/>
      <c r="H111" s="1">
        <f>SUM(OSRRefH22_15x_0)</f>
        <v>6100</v>
      </c>
      <c r="I111" s="1"/>
      <c r="J111" s="5">
        <f t="shared" si="62"/>
        <v>1.2392001673935964E-2</v>
      </c>
      <c r="K111" s="1"/>
      <c r="L111" s="1">
        <f t="shared" si="63"/>
        <v>0</v>
      </c>
      <c r="M111" s="1"/>
      <c r="N111" s="5">
        <f t="shared" si="64"/>
        <v>0</v>
      </c>
      <c r="O111" s="14"/>
      <c r="P111" s="1">
        <f>SUM(OSRRefP22_15x_0)</f>
        <v>24400</v>
      </c>
      <c r="Q111" s="1"/>
      <c r="R111" s="5">
        <f t="shared" si="65"/>
        <v>6.7613462414526952E-3</v>
      </c>
      <c r="S111" s="1"/>
      <c r="T111" s="1">
        <f>SUM(OSRRefT22_15x_0)</f>
        <v>24400</v>
      </c>
      <c r="U111" s="1"/>
      <c r="V111" s="5">
        <f t="shared" si="66"/>
        <v>4.6242932317403906E-3</v>
      </c>
      <c r="W111" s="1"/>
      <c r="X111" s="1">
        <f t="shared" si="67"/>
        <v>0</v>
      </c>
      <c r="Y111" s="1"/>
      <c r="Z111" s="5">
        <f t="shared" si="68"/>
        <v>0</v>
      </c>
    </row>
    <row r="112" spans="1:26" s="24" customFormat="1" hidden="1" outlineLevel="2" x14ac:dyDescent="0.25">
      <c r="A112" s="27"/>
      <c r="B112" s="11" t="str">
        <f>CONCATENATE("          ", "6273", " - ", "RENT")</f>
        <v xml:space="preserve">          6273 - RENT</v>
      </c>
      <c r="C112" s="11"/>
      <c r="D112" s="7">
        <v>6100</v>
      </c>
      <c r="E112" s="2"/>
      <c r="F112" s="6">
        <f t="shared" si="61"/>
        <v>9.0041739364915534E-3</v>
      </c>
      <c r="G112" s="2"/>
      <c r="H112" s="7">
        <v>6100</v>
      </c>
      <c r="I112" s="2"/>
      <c r="J112" s="6">
        <f t="shared" si="62"/>
        <v>1.2392001673935964E-2</v>
      </c>
      <c r="K112" s="2"/>
      <c r="L112" s="7">
        <f t="shared" si="63"/>
        <v>0</v>
      </c>
      <c r="M112" s="2"/>
      <c r="N112" s="6">
        <f t="shared" si="64"/>
        <v>0</v>
      </c>
      <c r="O112" s="11"/>
      <c r="P112" s="7">
        <v>24400</v>
      </c>
      <c r="Q112" s="2"/>
      <c r="R112" s="6">
        <f t="shared" si="65"/>
        <v>6.7613462414526952E-3</v>
      </c>
      <c r="S112" s="2"/>
      <c r="T112" s="7">
        <v>24400</v>
      </c>
      <c r="U112" s="2"/>
      <c r="V112" s="6">
        <f t="shared" si="66"/>
        <v>4.6242932317403906E-3</v>
      </c>
      <c r="W112" s="2"/>
      <c r="X112" s="7">
        <f t="shared" si="67"/>
        <v>0</v>
      </c>
      <c r="Y112" s="2"/>
      <c r="Z112" s="6">
        <f t="shared" si="68"/>
        <v>0</v>
      </c>
    </row>
    <row r="113" spans="1:26" s="28" customFormat="1" outlineLevel="1" collapsed="1" x14ac:dyDescent="0.25">
      <c r="A113" s="29"/>
      <c r="B113" s="14" t="str">
        <f>CONCATENATE("     ","Repair and Maintenance                            ")</f>
        <v xml:space="preserve">     Repair and Maintenance                            </v>
      </c>
      <c r="C113" s="14"/>
      <c r="D113" s="1">
        <f>SUM(OSRRefD22_16x_0)</f>
        <v>12440.880000000001</v>
      </c>
      <c r="E113" s="1"/>
      <c r="F113" s="5">
        <f t="shared" si="61"/>
        <v>1.8363909416888365E-2</v>
      </c>
      <c r="G113" s="1"/>
      <c r="H113" s="1">
        <f>SUM(OSRRefH22_16x_0)</f>
        <v>9745</v>
      </c>
      <c r="I113" s="1"/>
      <c r="J113" s="5">
        <f t="shared" si="62"/>
        <v>1.9796730543033766E-2</v>
      </c>
      <c r="K113" s="1"/>
      <c r="L113" s="1">
        <f t="shared" si="63"/>
        <v>2695.880000000001</v>
      </c>
      <c r="M113" s="1"/>
      <c r="N113" s="5">
        <f t="shared" si="64"/>
        <v>0.27664238070805552</v>
      </c>
      <c r="O113" s="14"/>
      <c r="P113" s="1">
        <f>SUM(OSRRefP22_16x_0)</f>
        <v>89457.44</v>
      </c>
      <c r="Q113" s="1"/>
      <c r="R113" s="5">
        <f t="shared" si="65"/>
        <v>2.4789046135818851E-2</v>
      </c>
      <c r="S113" s="1"/>
      <c r="T113" s="1">
        <f>SUM(OSRRefT22_16x_0)</f>
        <v>78800</v>
      </c>
      <c r="U113" s="1"/>
      <c r="V113" s="5">
        <f t="shared" si="66"/>
        <v>1.4934192895948474E-2</v>
      </c>
      <c r="W113" s="1"/>
      <c r="X113" s="1">
        <f t="shared" si="67"/>
        <v>10657.440000000002</v>
      </c>
      <c r="Y113" s="1"/>
      <c r="Z113" s="5">
        <f t="shared" si="68"/>
        <v>0.13524670050761425</v>
      </c>
    </row>
    <row r="114" spans="1:26" s="24" customFormat="1" hidden="1" outlineLevel="2" x14ac:dyDescent="0.25">
      <c r="A114" s="27"/>
      <c r="B114" s="11" t="str">
        <f>CONCATENATE("          ", "6371", " - ", "COMPUTER SOFTWARE MAINTENANCE")</f>
        <v xml:space="preserve">          6371 - COMPUTER SOFTWARE MAINTENANCE</v>
      </c>
      <c r="C114" s="11"/>
      <c r="D114" s="7">
        <v>2887.5</v>
      </c>
      <c r="E114" s="2"/>
      <c r="F114" s="6">
        <f t="shared" si="61"/>
        <v>4.2622216789539929E-3</v>
      </c>
      <c r="G114" s="2"/>
      <c r="H114" s="7">
        <v>1100</v>
      </c>
      <c r="I114" s="2"/>
      <c r="J114" s="6">
        <f t="shared" si="62"/>
        <v>2.2346232526769772E-3</v>
      </c>
      <c r="K114" s="2"/>
      <c r="L114" s="7">
        <f t="shared" si="63"/>
        <v>1787.5</v>
      </c>
      <c r="M114" s="2"/>
      <c r="N114" s="6">
        <f t="shared" si="64"/>
        <v>1.625</v>
      </c>
      <c r="O114" s="11"/>
      <c r="P114" s="7">
        <v>62511</v>
      </c>
      <c r="Q114" s="2"/>
      <c r="R114" s="6">
        <f t="shared" si="65"/>
        <v>1.7322070282764321E-2</v>
      </c>
      <c r="S114" s="2"/>
      <c r="T114" s="7">
        <v>43100</v>
      </c>
      <c r="U114" s="2"/>
      <c r="V114" s="6">
        <f t="shared" si="66"/>
        <v>8.1683212413119193E-3</v>
      </c>
      <c r="W114" s="2"/>
      <c r="X114" s="7">
        <f t="shared" si="67"/>
        <v>19411</v>
      </c>
      <c r="Y114" s="2"/>
      <c r="Z114" s="6">
        <f t="shared" si="68"/>
        <v>0.4503712296983759</v>
      </c>
    </row>
    <row r="115" spans="1:26" s="24" customFormat="1" hidden="1" outlineLevel="2" x14ac:dyDescent="0.25">
      <c r="A115" s="27"/>
      <c r="B115" s="11" t="str">
        <f>CONCATENATE("          ", "6372", " - ", "COMPUTER HARDWARE MAINTENANCE")</f>
        <v xml:space="preserve">          6372 - COMPUTER HARDWARE MAINTENANCE</v>
      </c>
      <c r="C115" s="11"/>
      <c r="D115" s="7"/>
      <c r="E115" s="2"/>
      <c r="F115" s="6">
        <f t="shared" si="61"/>
        <v>0</v>
      </c>
      <c r="G115" s="2"/>
      <c r="H115" s="7">
        <v>3750</v>
      </c>
      <c r="I115" s="2"/>
      <c r="J115" s="6">
        <f t="shared" si="62"/>
        <v>7.6180338159442399E-3</v>
      </c>
      <c r="K115" s="2"/>
      <c r="L115" s="7">
        <f t="shared" si="63"/>
        <v>-3750</v>
      </c>
      <c r="M115" s="2"/>
      <c r="N115" s="6">
        <f t="shared" si="64"/>
        <v>-1</v>
      </c>
      <c r="O115" s="11"/>
      <c r="P115" s="7"/>
      <c r="Q115" s="2"/>
      <c r="R115" s="6">
        <f t="shared" si="65"/>
        <v>0</v>
      </c>
      <c r="S115" s="2"/>
      <c r="T115" s="7">
        <v>11620</v>
      </c>
      <c r="U115" s="2"/>
      <c r="V115" s="6">
        <f t="shared" si="66"/>
        <v>2.2022248915091534E-3</v>
      </c>
      <c r="W115" s="2"/>
      <c r="X115" s="7">
        <f t="shared" si="67"/>
        <v>-11620</v>
      </c>
      <c r="Y115" s="2"/>
      <c r="Z115" s="6">
        <f t="shared" si="68"/>
        <v>-1</v>
      </c>
    </row>
    <row r="116" spans="1:26" s="24" customFormat="1" hidden="1" outlineLevel="2" x14ac:dyDescent="0.25">
      <c r="A116" s="27"/>
      <c r="B116" s="11" t="str">
        <f>CONCATENATE("          ", "6373", " - ", "MAINTENANCE CONTRACTS")</f>
        <v xml:space="preserve">          6373 - MAINTENANCE CONTRACTS</v>
      </c>
      <c r="C116" s="11"/>
      <c r="D116" s="7">
        <v>4034.78</v>
      </c>
      <c r="E116" s="2"/>
      <c r="F116" s="6">
        <f t="shared" si="61"/>
        <v>5.9557149041766207E-3</v>
      </c>
      <c r="G116" s="2"/>
      <c r="H116" s="7">
        <v>4855</v>
      </c>
      <c r="I116" s="2"/>
      <c r="J116" s="6">
        <f t="shared" si="62"/>
        <v>9.862814447042477E-3</v>
      </c>
      <c r="K116" s="2"/>
      <c r="L116" s="7">
        <f t="shared" si="63"/>
        <v>-820.2199999999998</v>
      </c>
      <c r="M116" s="2"/>
      <c r="N116" s="6">
        <f t="shared" si="64"/>
        <v>-0.16894335736354268</v>
      </c>
      <c r="O116" s="11"/>
      <c r="P116" s="7">
        <v>12066.73</v>
      </c>
      <c r="Q116" s="2"/>
      <c r="R116" s="6">
        <f t="shared" si="65"/>
        <v>3.3437434234477245E-3</v>
      </c>
      <c r="S116" s="2"/>
      <c r="T116" s="7">
        <v>23920</v>
      </c>
      <c r="U116" s="2"/>
      <c r="V116" s="6">
        <f t="shared" si="66"/>
        <v>4.5333235288209078E-3</v>
      </c>
      <c r="W116" s="2"/>
      <c r="X116" s="7">
        <f t="shared" si="67"/>
        <v>-11853.27</v>
      </c>
      <c r="Y116" s="2"/>
      <c r="Z116" s="6">
        <f t="shared" si="68"/>
        <v>-0.49553804347826091</v>
      </c>
    </row>
    <row r="117" spans="1:26" s="24" customFormat="1" hidden="1" outlineLevel="2" x14ac:dyDescent="0.25">
      <c r="A117" s="27"/>
      <c r="B117" s="11" t="str">
        <f>CONCATENATE("          ", "6375", " - ", "OUTSIDE REPAIRS &amp; MAINTENANCE")</f>
        <v xml:space="preserve">          6375 - OUTSIDE REPAIRS &amp; MAINTENANCE</v>
      </c>
      <c r="C117" s="11"/>
      <c r="D117" s="7">
        <v>5518.6</v>
      </c>
      <c r="E117" s="2"/>
      <c r="F117" s="6">
        <f t="shared" si="61"/>
        <v>8.1459728337577517E-3</v>
      </c>
      <c r="G117" s="2"/>
      <c r="H117" s="7">
        <v>40</v>
      </c>
      <c r="I117" s="2"/>
      <c r="J117" s="6">
        <f t="shared" si="62"/>
        <v>8.1259027370071896E-5</v>
      </c>
      <c r="K117" s="2"/>
      <c r="L117" s="7">
        <f t="shared" si="63"/>
        <v>5478.6</v>
      </c>
      <c r="M117" s="2"/>
      <c r="N117" s="6">
        <f t="shared" si="64"/>
        <v>136.965</v>
      </c>
      <c r="O117" s="11"/>
      <c r="P117" s="7">
        <v>14879.71</v>
      </c>
      <c r="Q117" s="2"/>
      <c r="R117" s="6">
        <f t="shared" si="65"/>
        <v>4.123232429606806E-3</v>
      </c>
      <c r="S117" s="2"/>
      <c r="T117" s="7">
        <v>160</v>
      </c>
      <c r="U117" s="2"/>
      <c r="V117" s="6">
        <f t="shared" si="66"/>
        <v>3.0323234306494363E-5</v>
      </c>
      <c r="W117" s="2"/>
      <c r="X117" s="7">
        <f t="shared" si="67"/>
        <v>14719.71</v>
      </c>
      <c r="Y117" s="2"/>
      <c r="Z117" s="6">
        <f t="shared" si="68"/>
        <v>91.9981875</v>
      </c>
    </row>
    <row r="118" spans="1:26" s="28" customFormat="1" outlineLevel="1" collapsed="1" x14ac:dyDescent="0.25">
      <c r="A118" s="29"/>
      <c r="B118" s="14" t="str">
        <f>CONCATENATE("     ","Royalty &amp; Commissions                             ")</f>
        <v xml:space="preserve">     Royalty &amp; Commissions                             </v>
      </c>
      <c r="C118" s="14"/>
      <c r="D118" s="1">
        <f>SUM(OSRRefD22_17x_0)</f>
        <v>10709.72</v>
      </c>
      <c r="E118" s="1"/>
      <c r="F118" s="5">
        <f t="shared" ref="F118:F122" si="69">IF(D$12=0,0,D118/D$12)</f>
        <v>1.5808554375593819E-2</v>
      </c>
      <c r="G118" s="1"/>
      <c r="H118" s="1">
        <f>SUM(OSRRefH22_17x_0)</f>
        <v>11812</v>
      </c>
      <c r="I118" s="1"/>
      <c r="J118" s="5">
        <f t="shared" ref="J118:J122" si="70">IF(H$12=0,0,H118/H$12)</f>
        <v>2.3995790782382231E-2</v>
      </c>
      <c r="K118" s="1"/>
      <c r="L118" s="1">
        <f t="shared" ref="L118:L122" si="71">+D118-H118</f>
        <v>-1102.2800000000007</v>
      </c>
      <c r="M118" s="1"/>
      <c r="N118" s="5">
        <f t="shared" ref="N118:N122" si="72">IF(H118=0,0,L118/H118)</f>
        <v>-9.3318658990856812E-2</v>
      </c>
      <c r="O118" s="14"/>
      <c r="P118" s="1">
        <f>SUM(OSRRefP22_17x_0)</f>
        <v>19840.93</v>
      </c>
      <c r="Q118" s="1"/>
      <c r="R118" s="5">
        <f t="shared" ref="R118:R122" si="73">IF(P$12=0,0,P118/P$12)</f>
        <v>5.4980080935420504E-3</v>
      </c>
      <c r="S118" s="1"/>
      <c r="T118" s="1">
        <f>SUM(OSRRefT22_17x_0)</f>
        <v>31172</v>
      </c>
      <c r="U118" s="1"/>
      <c r="V118" s="5">
        <f t="shared" ref="V118:V122" si="74">IF(T$12=0,0,T118/T$12)</f>
        <v>5.9077241237627644E-3</v>
      </c>
      <c r="W118" s="1"/>
      <c r="X118" s="1">
        <f t="shared" ref="X118:X122" si="75">+P118-T118</f>
        <v>-11331.07</v>
      </c>
      <c r="Y118" s="1"/>
      <c r="Z118" s="5">
        <f t="shared" ref="Z118:Z122" si="76">IF(T118=0,0,X118/T118)</f>
        <v>-0.36350153984344924</v>
      </c>
    </row>
    <row r="119" spans="1:26" s="24" customFormat="1" hidden="1" outlineLevel="2" x14ac:dyDescent="0.25">
      <c r="A119" s="27"/>
      <c r="B119" s="11" t="str">
        <f>CONCATENATE("          ", "6252", " - ", "ROYALTY DUE CSTV")</f>
        <v xml:space="preserve">          6252 - ROYALTY DUE CSTV</v>
      </c>
      <c r="C119" s="11"/>
      <c r="D119" s="7"/>
      <c r="E119" s="2"/>
      <c r="F119" s="6">
        <f t="shared" si="69"/>
        <v>0</v>
      </c>
      <c r="G119" s="2"/>
      <c r="H119" s="7">
        <v>1122</v>
      </c>
      <c r="I119" s="2"/>
      <c r="J119" s="6">
        <f t="shared" si="70"/>
        <v>2.2793157177305166E-3</v>
      </c>
      <c r="K119" s="2"/>
      <c r="L119" s="7">
        <f t="shared" si="71"/>
        <v>-1122</v>
      </c>
      <c r="M119" s="2"/>
      <c r="N119" s="6">
        <f t="shared" si="72"/>
        <v>-1</v>
      </c>
      <c r="O119" s="11"/>
      <c r="P119" s="7"/>
      <c r="Q119" s="2"/>
      <c r="R119" s="6">
        <f t="shared" si="73"/>
        <v>0</v>
      </c>
      <c r="S119" s="2"/>
      <c r="T119" s="7">
        <v>5310</v>
      </c>
      <c r="U119" s="2"/>
      <c r="V119" s="6">
        <f t="shared" si="74"/>
        <v>1.0063523385467818E-3</v>
      </c>
      <c r="W119" s="2"/>
      <c r="X119" s="7">
        <f t="shared" si="75"/>
        <v>-5310</v>
      </c>
      <c r="Y119" s="2"/>
      <c r="Z119" s="6">
        <f t="shared" si="76"/>
        <v>-1</v>
      </c>
    </row>
    <row r="120" spans="1:26" s="24" customFormat="1" hidden="1" outlineLevel="2" x14ac:dyDescent="0.25">
      <c r="A120" s="27"/>
      <c r="B120" s="11" t="str">
        <f>CONCATENATE("          ", "6253", " - ", "ROYALTY DUE ATHLETICS-LRG")</f>
        <v xml:space="preserve">          6253 - ROYALTY DUE ATHLETICS-LRG</v>
      </c>
      <c r="C120" s="11"/>
      <c r="D120" s="7">
        <v>8783.75</v>
      </c>
      <c r="E120" s="2"/>
      <c r="F120" s="6">
        <f t="shared" si="69"/>
        <v>1.2965641445025848E-2</v>
      </c>
      <c r="G120" s="2"/>
      <c r="H120" s="7">
        <v>10490</v>
      </c>
      <c r="I120" s="2"/>
      <c r="J120" s="6">
        <f t="shared" si="70"/>
        <v>2.1310179927801355E-2</v>
      </c>
      <c r="K120" s="2"/>
      <c r="L120" s="7">
        <f t="shared" si="71"/>
        <v>-1706.25</v>
      </c>
      <c r="M120" s="2"/>
      <c r="N120" s="6">
        <f t="shared" si="72"/>
        <v>-0.16265490943755959</v>
      </c>
      <c r="O120" s="11"/>
      <c r="P120" s="7">
        <v>23160.29</v>
      </c>
      <c r="Q120" s="2"/>
      <c r="R120" s="6">
        <f t="shared" si="73"/>
        <v>6.4178172025596081E-3</v>
      </c>
      <c r="S120" s="2"/>
      <c r="T120" s="7">
        <v>16162</v>
      </c>
      <c r="U120" s="2"/>
      <c r="V120" s="6">
        <f t="shared" si="74"/>
        <v>3.0630257053847619E-3</v>
      </c>
      <c r="W120" s="2"/>
      <c r="X120" s="7">
        <f t="shared" si="75"/>
        <v>6998.2900000000009</v>
      </c>
      <c r="Y120" s="2"/>
      <c r="Z120" s="6">
        <f t="shared" si="76"/>
        <v>0.43300890978839257</v>
      </c>
    </row>
    <row r="121" spans="1:26" s="24" customFormat="1" hidden="1" outlineLevel="2" x14ac:dyDescent="0.25">
      <c r="A121" s="27"/>
      <c r="B121" s="11" t="str">
        <f>CONCATENATE("          ", "6254", " - ", "ROYALTY &amp; COMMISSIONS")</f>
        <v xml:space="preserve">          6254 - ROYALTY &amp; COMMISSIONS</v>
      </c>
      <c r="C121" s="11"/>
      <c r="D121" s="7"/>
      <c r="E121" s="2"/>
      <c r="F121" s="6">
        <f t="shared" si="69"/>
        <v>0</v>
      </c>
      <c r="G121" s="2"/>
      <c r="H121" s="7">
        <v>0</v>
      </c>
      <c r="I121" s="2"/>
      <c r="J121" s="6">
        <f t="shared" si="70"/>
        <v>0</v>
      </c>
      <c r="K121" s="2"/>
      <c r="L121" s="7">
        <f t="shared" si="71"/>
        <v>0</v>
      </c>
      <c r="M121" s="2"/>
      <c r="N121" s="6">
        <f t="shared" si="72"/>
        <v>0</v>
      </c>
      <c r="O121" s="11"/>
      <c r="P121" s="7">
        <v>-7027.5</v>
      </c>
      <c r="Q121" s="2"/>
      <c r="R121" s="6">
        <f t="shared" si="73"/>
        <v>-1.9473508488446235E-3</v>
      </c>
      <c r="S121" s="2"/>
      <c r="T121" s="7">
        <v>0</v>
      </c>
      <c r="U121" s="2"/>
      <c r="V121" s="6">
        <f t="shared" si="74"/>
        <v>0</v>
      </c>
      <c r="W121" s="2"/>
      <c r="X121" s="7">
        <f t="shared" si="75"/>
        <v>-7027.5</v>
      </c>
      <c r="Y121" s="2"/>
      <c r="Z121" s="6">
        <f t="shared" si="76"/>
        <v>0</v>
      </c>
    </row>
    <row r="122" spans="1:26" s="24" customFormat="1" hidden="1" outlineLevel="2" x14ac:dyDescent="0.25">
      <c r="A122" s="27"/>
      <c r="B122" s="11" t="str">
        <f>CONCATENATE("          ", "6259", " - ", "ROYALTY &amp; COMMISSIONS")</f>
        <v xml:space="preserve">          6259 - ROYALTY &amp; COMMISSIONS</v>
      </c>
      <c r="C122" s="11"/>
      <c r="D122" s="7">
        <v>1925.97</v>
      </c>
      <c r="E122" s="2"/>
      <c r="F122" s="6">
        <f t="shared" si="69"/>
        <v>2.8429129305679729E-3</v>
      </c>
      <c r="G122" s="2"/>
      <c r="H122" s="7">
        <v>200</v>
      </c>
      <c r="I122" s="2"/>
      <c r="J122" s="6">
        <f t="shared" si="70"/>
        <v>4.0629513685035948E-4</v>
      </c>
      <c r="K122" s="2"/>
      <c r="L122" s="7">
        <f t="shared" si="71"/>
        <v>1725.97</v>
      </c>
      <c r="M122" s="2"/>
      <c r="N122" s="6">
        <f t="shared" si="72"/>
        <v>8.6298499999999994</v>
      </c>
      <c r="O122" s="11"/>
      <c r="P122" s="7">
        <v>3708.14</v>
      </c>
      <c r="Q122" s="2"/>
      <c r="R122" s="6">
        <f t="shared" si="73"/>
        <v>1.0275417398270654E-3</v>
      </c>
      <c r="S122" s="2"/>
      <c r="T122" s="7">
        <v>9700</v>
      </c>
      <c r="U122" s="2"/>
      <c r="V122" s="6">
        <f t="shared" si="74"/>
        <v>1.8383460798312209E-3</v>
      </c>
      <c r="W122" s="2"/>
      <c r="X122" s="7">
        <f t="shared" si="75"/>
        <v>-5991.8600000000006</v>
      </c>
      <c r="Y122" s="2"/>
      <c r="Z122" s="6">
        <f t="shared" si="76"/>
        <v>-0.61771752577319594</v>
      </c>
    </row>
    <row r="123" spans="1:26" s="28" customFormat="1" outlineLevel="1" collapsed="1" x14ac:dyDescent="0.25">
      <c r="A123" s="29"/>
      <c r="B123" s="14" t="str">
        <f>CONCATENATE("     ","Services                                          ")</f>
        <v xml:space="preserve">     Services                                          </v>
      </c>
      <c r="C123" s="14"/>
      <c r="D123" s="1">
        <f>SUM(OSRRefD22_18x_0)</f>
        <v>5241.84</v>
      </c>
      <c r="E123" s="1"/>
      <c r="F123" s="5">
        <f t="shared" ref="F123:F126" si="77">IF(D$12=0,0,D123/D$12)</f>
        <v>7.737449033976866E-3</v>
      </c>
      <c r="G123" s="1"/>
      <c r="H123" s="1">
        <f>SUM(OSRRefH22_18x_0)</f>
        <v>4360</v>
      </c>
      <c r="I123" s="1"/>
      <c r="J123" s="5">
        <f t="shared" ref="J123:J126" si="78">IF(H$12=0,0,H123/H$12)</f>
        <v>8.8572339833378356E-3</v>
      </c>
      <c r="K123" s="1"/>
      <c r="L123" s="1">
        <f t="shared" ref="L123:L126" si="79">+D123-H123</f>
        <v>881.84000000000015</v>
      </c>
      <c r="M123" s="1"/>
      <c r="N123" s="5">
        <f t="shared" ref="N123:N126" si="80">IF(H123=0,0,L123/H123)</f>
        <v>0.20225688073394499</v>
      </c>
      <c r="O123" s="14"/>
      <c r="P123" s="1">
        <f>SUM(OSRRefP22_18x_0)</f>
        <v>26462.6</v>
      </c>
      <c r="Q123" s="1"/>
      <c r="R123" s="5">
        <f t="shared" ref="R123:R126" si="81">IF(P$12=0,0,P123/P$12)</f>
        <v>7.3329016823387733E-3</v>
      </c>
      <c r="S123" s="1"/>
      <c r="T123" s="1">
        <f>SUM(OSRRefT22_18x_0)</f>
        <v>17500</v>
      </c>
      <c r="U123" s="1"/>
      <c r="V123" s="5">
        <f t="shared" ref="V123:V126" si="82">IF(T$12=0,0,T123/T$12)</f>
        <v>3.3166037522728213E-3</v>
      </c>
      <c r="W123" s="1"/>
      <c r="X123" s="1">
        <f t="shared" ref="X123:X126" si="83">+P123-T123</f>
        <v>8962.5999999999985</v>
      </c>
      <c r="Y123" s="1"/>
      <c r="Z123" s="5">
        <f t="shared" ref="Z123:Z126" si="84">IF(T123=0,0,X123/T123)</f>
        <v>0.5121485714285714</v>
      </c>
    </row>
    <row r="124" spans="1:26" s="24" customFormat="1" hidden="1" outlineLevel="2" x14ac:dyDescent="0.25">
      <c r="A124" s="27"/>
      <c r="B124" s="11" t="str">
        <f>CONCATENATE("          ", "6282", " - ", "JANITORIAL/EXTERMINATOR EXPENS")</f>
        <v xml:space="preserve">          6282 - JANITORIAL/EXTERMINATOR EXPENS</v>
      </c>
      <c r="C124" s="11"/>
      <c r="D124" s="7">
        <v>753.11</v>
      </c>
      <c r="E124" s="2"/>
      <c r="F124" s="6">
        <f t="shared" si="77"/>
        <v>1.1116612185755989E-3</v>
      </c>
      <c r="G124" s="2"/>
      <c r="H124" s="7">
        <v>4300</v>
      </c>
      <c r="I124" s="2"/>
      <c r="J124" s="6">
        <f t="shared" si="78"/>
        <v>8.7353454422827281E-3</v>
      </c>
      <c r="K124" s="2"/>
      <c r="L124" s="7">
        <f t="shared" si="79"/>
        <v>-3546.89</v>
      </c>
      <c r="M124" s="2"/>
      <c r="N124" s="6">
        <f t="shared" si="80"/>
        <v>-0.82485813953488374</v>
      </c>
      <c r="O124" s="11"/>
      <c r="P124" s="7">
        <v>1728.68</v>
      </c>
      <c r="Q124" s="2"/>
      <c r="R124" s="6">
        <f t="shared" si="81"/>
        <v>4.79024754945674E-4</v>
      </c>
      <c r="S124" s="2"/>
      <c r="T124" s="7">
        <v>17200</v>
      </c>
      <c r="U124" s="2"/>
      <c r="V124" s="6">
        <f t="shared" si="82"/>
        <v>3.2597476879481441E-3</v>
      </c>
      <c r="W124" s="2"/>
      <c r="X124" s="7">
        <f t="shared" si="83"/>
        <v>-15471.32</v>
      </c>
      <c r="Y124" s="2"/>
      <c r="Z124" s="6">
        <f t="shared" si="84"/>
        <v>-0.89949534883720927</v>
      </c>
    </row>
    <row r="125" spans="1:26" s="24" customFormat="1" hidden="1" outlineLevel="2" x14ac:dyDescent="0.25">
      <c r="A125" s="27"/>
      <c r="B125" s="11" t="str">
        <f>CONCATENATE("          ", "6284", " - ", "TRASH REMOVAL EXPENSE")</f>
        <v xml:space="preserve">          6284 - TRASH REMOVAL EXPENSE</v>
      </c>
      <c r="C125" s="11"/>
      <c r="D125" s="7">
        <v>149.69999999999999</v>
      </c>
      <c r="E125" s="2"/>
      <c r="F125" s="6">
        <f t="shared" si="77"/>
        <v>2.2097128496603038E-4</v>
      </c>
      <c r="G125" s="2"/>
      <c r="H125" s="7">
        <v>60</v>
      </c>
      <c r="I125" s="2"/>
      <c r="J125" s="6">
        <f t="shared" si="78"/>
        <v>1.2188854105510784E-4</v>
      </c>
      <c r="K125" s="2"/>
      <c r="L125" s="7">
        <f t="shared" si="79"/>
        <v>89.699999999999989</v>
      </c>
      <c r="M125" s="2"/>
      <c r="N125" s="6">
        <f t="shared" si="80"/>
        <v>1.4949999999999999</v>
      </c>
      <c r="O125" s="11"/>
      <c r="P125" s="7">
        <v>591.66999999999996</v>
      </c>
      <c r="Q125" s="2"/>
      <c r="R125" s="6">
        <f t="shared" si="81"/>
        <v>1.6395433322460311E-4</v>
      </c>
      <c r="S125" s="2"/>
      <c r="T125" s="7">
        <v>300</v>
      </c>
      <c r="U125" s="2"/>
      <c r="V125" s="6">
        <f t="shared" si="82"/>
        <v>5.6856064324676932E-5</v>
      </c>
      <c r="W125" s="2"/>
      <c r="X125" s="7">
        <f t="shared" si="83"/>
        <v>291.66999999999996</v>
      </c>
      <c r="Y125" s="2"/>
      <c r="Z125" s="6">
        <f t="shared" si="84"/>
        <v>0.97223333333333317</v>
      </c>
    </row>
    <row r="126" spans="1:26" s="24" customFormat="1" hidden="1" outlineLevel="2" x14ac:dyDescent="0.25">
      <c r="A126" s="27"/>
      <c r="B126" s="11" t="str">
        <f>CONCATENATE("          ", "6285", " - ", "JANITORIAL SERVICES")</f>
        <v xml:space="preserve">          6285 - JANITORIAL SERVICES</v>
      </c>
      <c r="C126" s="11"/>
      <c r="D126" s="7">
        <v>4339.03</v>
      </c>
      <c r="E126" s="2"/>
      <c r="F126" s="6">
        <f t="shared" si="77"/>
        <v>6.4048165304352363E-3</v>
      </c>
      <c r="G126" s="2"/>
      <c r="H126" s="7"/>
      <c r="I126" s="2"/>
      <c r="J126" s="6">
        <f t="shared" si="78"/>
        <v>0</v>
      </c>
      <c r="K126" s="2"/>
      <c r="L126" s="7">
        <f t="shared" si="79"/>
        <v>4339.03</v>
      </c>
      <c r="M126" s="2"/>
      <c r="N126" s="6">
        <f t="shared" si="80"/>
        <v>0</v>
      </c>
      <c r="O126" s="11"/>
      <c r="P126" s="7">
        <v>24142.25</v>
      </c>
      <c r="Q126" s="2"/>
      <c r="R126" s="6">
        <f t="shared" si="81"/>
        <v>6.6899225941684966E-3</v>
      </c>
      <c r="S126" s="2"/>
      <c r="T126" s="7"/>
      <c r="U126" s="2"/>
      <c r="V126" s="6">
        <f t="shared" si="82"/>
        <v>0</v>
      </c>
      <c r="W126" s="2"/>
      <c r="X126" s="7">
        <f t="shared" si="83"/>
        <v>24142.25</v>
      </c>
      <c r="Y126" s="2"/>
      <c r="Z126" s="6">
        <f t="shared" si="84"/>
        <v>0</v>
      </c>
    </row>
    <row r="127" spans="1:26" s="28" customFormat="1" outlineLevel="1" collapsed="1" x14ac:dyDescent="0.25">
      <c r="A127" s="29"/>
      <c r="B127" s="14" t="str">
        <f>CONCATENATE("     ","Subscriptions &amp; Dues                              ")</f>
        <v xml:space="preserve">     Subscriptions &amp; Dues                              </v>
      </c>
      <c r="C127" s="14"/>
      <c r="D127" s="1">
        <f>SUM(OSRRefD22_19x_0)</f>
        <v>904.08</v>
      </c>
      <c r="E127" s="1"/>
      <c r="F127" s="5">
        <f t="shared" ref="F127:F129" si="85">IF(D$12=0,0,D127/D$12)</f>
        <v>1.3345071430333252E-3</v>
      </c>
      <c r="G127" s="1"/>
      <c r="H127" s="1">
        <f>SUM(OSRRefH22_19x_0)</f>
        <v>1361</v>
      </c>
      <c r="I127" s="1"/>
      <c r="J127" s="5">
        <f t="shared" ref="J127:J129" si="86">IF(H$12=0,0,H127/H$12)</f>
        <v>2.764838406266696E-3</v>
      </c>
      <c r="K127" s="1"/>
      <c r="L127" s="1">
        <f t="shared" ref="L127:L129" si="87">+D127-H127</f>
        <v>-456.91999999999996</v>
      </c>
      <c r="M127" s="1"/>
      <c r="N127" s="5">
        <f t="shared" ref="N127:N129" si="88">IF(H127=0,0,L127/H127)</f>
        <v>-0.33572373254959587</v>
      </c>
      <c r="O127" s="14"/>
      <c r="P127" s="1">
        <f>SUM(OSRRefP22_19x_0)</f>
        <v>956.84</v>
      </c>
      <c r="Q127" s="1"/>
      <c r="R127" s="5">
        <f t="shared" ref="R127:R129" si="89">IF(P$12=0,0,P127/P$12)</f>
        <v>2.6514453023244251E-4</v>
      </c>
      <c r="S127" s="1"/>
      <c r="T127" s="1">
        <f>SUM(OSRRefT22_19x_0)</f>
        <v>4879</v>
      </c>
      <c r="U127" s="1"/>
      <c r="V127" s="5">
        <f t="shared" ref="V127:V129" si="90">IF(T$12=0,0,T127/T$12)</f>
        <v>9.2466912613366258E-4</v>
      </c>
      <c r="W127" s="1"/>
      <c r="X127" s="1">
        <f t="shared" ref="X127:X129" si="91">+P127-T127</f>
        <v>-3922.16</v>
      </c>
      <c r="Y127" s="1"/>
      <c r="Z127" s="5">
        <f t="shared" ref="Z127:Z129" si="92">IF(T127=0,0,X127/T127)</f>
        <v>-0.80388604222176674</v>
      </c>
    </row>
    <row r="128" spans="1:26" s="24" customFormat="1" hidden="1" outlineLevel="2" x14ac:dyDescent="0.25">
      <c r="A128" s="27"/>
      <c r="B128" s="11" t="str">
        <f>CONCATENATE("          ", "6258", " - ", "MEMBERSHIP DUES")</f>
        <v xml:space="preserve">          6258 - MEMBERSHIP DUES</v>
      </c>
      <c r="C128" s="11"/>
      <c r="D128" s="7">
        <v>904.08</v>
      </c>
      <c r="E128" s="2"/>
      <c r="F128" s="6">
        <f t="shared" si="85"/>
        <v>1.3345071430333252E-3</v>
      </c>
      <c r="G128" s="2"/>
      <c r="H128" s="7">
        <v>1300</v>
      </c>
      <c r="I128" s="2"/>
      <c r="J128" s="6">
        <f t="shared" si="86"/>
        <v>2.6409183895273365E-3</v>
      </c>
      <c r="K128" s="2"/>
      <c r="L128" s="7">
        <f t="shared" si="87"/>
        <v>-395.91999999999996</v>
      </c>
      <c r="M128" s="2"/>
      <c r="N128" s="6">
        <f t="shared" si="88"/>
        <v>-0.30455384615384612</v>
      </c>
      <c r="O128" s="11"/>
      <c r="P128" s="7">
        <v>956.84</v>
      </c>
      <c r="Q128" s="2"/>
      <c r="R128" s="6">
        <f t="shared" si="89"/>
        <v>2.6514453023244251E-4</v>
      </c>
      <c r="S128" s="2"/>
      <c r="T128" s="7">
        <v>4595</v>
      </c>
      <c r="U128" s="2"/>
      <c r="V128" s="6">
        <f t="shared" si="90"/>
        <v>8.7084538523963509E-4</v>
      </c>
      <c r="W128" s="2"/>
      <c r="X128" s="7">
        <f t="shared" si="91"/>
        <v>-3638.16</v>
      </c>
      <c r="Y128" s="2"/>
      <c r="Z128" s="6">
        <f t="shared" si="92"/>
        <v>-0.79176496191512513</v>
      </c>
    </row>
    <row r="129" spans="1:26" s="24" customFormat="1" hidden="1" outlineLevel="2" x14ac:dyDescent="0.25">
      <c r="A129" s="27"/>
      <c r="B129" s="11" t="str">
        <f>CONCATENATE("          ", "6275", " - ", "SUBSCRIPTIONS")</f>
        <v xml:space="preserve">          6275 - SUBSCRIPTIONS</v>
      </c>
      <c r="C129" s="11"/>
      <c r="D129" s="7"/>
      <c r="E129" s="2"/>
      <c r="F129" s="6">
        <f t="shared" si="85"/>
        <v>0</v>
      </c>
      <c r="G129" s="2"/>
      <c r="H129" s="7">
        <v>61</v>
      </c>
      <c r="I129" s="2"/>
      <c r="J129" s="6">
        <f t="shared" si="86"/>
        <v>1.2392001673935965E-4</v>
      </c>
      <c r="K129" s="2"/>
      <c r="L129" s="7">
        <f t="shared" si="87"/>
        <v>-61</v>
      </c>
      <c r="M129" s="2"/>
      <c r="N129" s="6">
        <f t="shared" si="88"/>
        <v>-1</v>
      </c>
      <c r="O129" s="11"/>
      <c r="P129" s="7"/>
      <c r="Q129" s="2"/>
      <c r="R129" s="6">
        <f t="shared" si="89"/>
        <v>0</v>
      </c>
      <c r="S129" s="2"/>
      <c r="T129" s="7">
        <v>284</v>
      </c>
      <c r="U129" s="2"/>
      <c r="V129" s="6">
        <f t="shared" si="90"/>
        <v>5.3823740894027501E-5</v>
      </c>
      <c r="W129" s="2"/>
      <c r="X129" s="7">
        <f t="shared" si="91"/>
        <v>-284</v>
      </c>
      <c r="Y129" s="2"/>
      <c r="Z129" s="6">
        <f t="shared" si="92"/>
        <v>-1</v>
      </c>
    </row>
    <row r="130" spans="1:26" s="28" customFormat="1" outlineLevel="1" collapsed="1" x14ac:dyDescent="0.25">
      <c r="A130" s="29"/>
      <c r="B130" s="14" t="str">
        <f>CONCATENATE("     ","Supplies                                          ")</f>
        <v xml:space="preserve">     Supplies                                          </v>
      </c>
      <c r="C130" s="14"/>
      <c r="D130" s="1">
        <f>SUM(OSRRefD22_20x_0)</f>
        <v>12404.46</v>
      </c>
      <c r="E130" s="1"/>
      <c r="F130" s="5">
        <f t="shared" ref="F130:F137" si="93">IF(D$12=0,0,D130/D$12)</f>
        <v>1.8310150070205245E-2</v>
      </c>
      <c r="G130" s="1"/>
      <c r="H130" s="1">
        <f>SUM(OSRRefH22_20x_0)</f>
        <v>10640</v>
      </c>
      <c r="I130" s="1"/>
      <c r="J130" s="5">
        <f t="shared" ref="J130:J137" si="94">IF(H$12=0,0,H130/H$12)</f>
        <v>2.1614901280439122E-2</v>
      </c>
      <c r="K130" s="1"/>
      <c r="L130" s="1">
        <f t="shared" ref="L130:L137" si="95">+D130-H130</f>
        <v>1764.4599999999991</v>
      </c>
      <c r="M130" s="1"/>
      <c r="N130" s="5">
        <f t="shared" ref="N130:N137" si="96">IF(H130=0,0,L130/H130)</f>
        <v>0.16583270676691722</v>
      </c>
      <c r="O130" s="14"/>
      <c r="P130" s="1">
        <f>SUM(OSRRefP22_20x_0)</f>
        <v>43050.18</v>
      </c>
      <c r="Q130" s="1"/>
      <c r="R130" s="5">
        <f t="shared" ref="R130:R137" si="97">IF(P$12=0,0,P130/P$12)</f>
        <v>1.192939232528123E-2</v>
      </c>
      <c r="S130" s="1"/>
      <c r="T130" s="1">
        <f>SUM(OSRRefT22_20x_0)</f>
        <v>45010</v>
      </c>
      <c r="U130" s="1"/>
      <c r="V130" s="5">
        <f t="shared" ref="V130:V137" si="98">IF(T$12=0,0,T130/T$12)</f>
        <v>8.5303048508456967E-3</v>
      </c>
      <c r="W130" s="1"/>
      <c r="X130" s="1">
        <f t="shared" ref="X130:X137" si="99">+P130-T130</f>
        <v>-1959.8199999999997</v>
      </c>
      <c r="Y130" s="1"/>
      <c r="Z130" s="5">
        <f t="shared" ref="Z130:Z137" si="100">IF(T130=0,0,X130/T130)</f>
        <v>-4.3541879582315035E-2</v>
      </c>
    </row>
    <row r="131" spans="1:26" s="24" customFormat="1" hidden="1" outlineLevel="2" x14ac:dyDescent="0.25">
      <c r="A131" s="27"/>
      <c r="B131" s="11" t="str">
        <f>CONCATENATE("          ", "6234", " - ", "EXPENDABLE SUPPLIES &amp; EQUIPMEN")</f>
        <v xml:space="preserve">          6234 - EXPENDABLE SUPPLIES &amp; EQUIPMEN</v>
      </c>
      <c r="C131" s="11"/>
      <c r="D131" s="7">
        <v>2542.41</v>
      </c>
      <c r="E131" s="2"/>
      <c r="F131" s="6">
        <f t="shared" si="93"/>
        <v>3.7528363701435224E-3</v>
      </c>
      <c r="G131" s="2"/>
      <c r="H131" s="7">
        <v>300</v>
      </c>
      <c r="I131" s="2"/>
      <c r="J131" s="6">
        <f t="shared" si="94"/>
        <v>6.0944270527553922E-4</v>
      </c>
      <c r="K131" s="2"/>
      <c r="L131" s="7">
        <f t="shared" si="95"/>
        <v>2242.41</v>
      </c>
      <c r="M131" s="2"/>
      <c r="N131" s="6">
        <f t="shared" si="96"/>
        <v>7.4746999999999995</v>
      </c>
      <c r="O131" s="11"/>
      <c r="P131" s="7">
        <v>2542.41</v>
      </c>
      <c r="Q131" s="2"/>
      <c r="R131" s="6">
        <f t="shared" si="97"/>
        <v>7.0451288105457968E-4</v>
      </c>
      <c r="S131" s="2"/>
      <c r="T131" s="7">
        <v>600</v>
      </c>
      <c r="U131" s="2"/>
      <c r="V131" s="6">
        <f t="shared" si="98"/>
        <v>1.1371212864935386E-4</v>
      </c>
      <c r="W131" s="2"/>
      <c r="X131" s="7">
        <f t="shared" si="99"/>
        <v>1942.4099999999999</v>
      </c>
      <c r="Y131" s="2"/>
      <c r="Z131" s="6">
        <f t="shared" si="100"/>
        <v>3.2373499999999997</v>
      </c>
    </row>
    <row r="132" spans="1:26" s="24" customFormat="1" hidden="1" outlineLevel="2" x14ac:dyDescent="0.25">
      <c r="A132" s="27"/>
      <c r="B132" s="11" t="str">
        <f>CONCATENATE("          ", "6235", " - ", "COVID-19 EXPENSES")</f>
        <v xml:space="preserve">          6235 - COVID-19 EXPENSES</v>
      </c>
      <c r="C132" s="11"/>
      <c r="D132" s="7"/>
      <c r="E132" s="2"/>
      <c r="F132" s="6">
        <f t="shared" si="93"/>
        <v>0</v>
      </c>
      <c r="G132" s="2"/>
      <c r="H132" s="7">
        <v>125</v>
      </c>
      <c r="I132" s="2"/>
      <c r="J132" s="6">
        <f t="shared" si="94"/>
        <v>2.5393446053147465E-4</v>
      </c>
      <c r="K132" s="2"/>
      <c r="L132" s="7">
        <f t="shared" si="95"/>
        <v>-125</v>
      </c>
      <c r="M132" s="2"/>
      <c r="N132" s="6">
        <f t="shared" si="96"/>
        <v>-1</v>
      </c>
      <c r="O132" s="11"/>
      <c r="P132" s="7">
        <v>3430.32</v>
      </c>
      <c r="Q132" s="2"/>
      <c r="R132" s="6">
        <f t="shared" si="97"/>
        <v>9.5055660815491843E-4</v>
      </c>
      <c r="S132" s="2"/>
      <c r="T132" s="7">
        <v>500</v>
      </c>
      <c r="U132" s="2"/>
      <c r="V132" s="6">
        <f t="shared" si="98"/>
        <v>9.4760107207794895E-5</v>
      </c>
      <c r="W132" s="2"/>
      <c r="X132" s="7">
        <f t="shared" si="99"/>
        <v>2930.32</v>
      </c>
      <c r="Y132" s="2"/>
      <c r="Z132" s="6">
        <f t="shared" si="100"/>
        <v>5.8606400000000001</v>
      </c>
    </row>
    <row r="133" spans="1:26" s="24" customFormat="1" hidden="1" outlineLevel="2" x14ac:dyDescent="0.25">
      <c r="A133" s="27"/>
      <c r="B133" s="11" t="str">
        <f>CONCATENATE("          ", "6237", " - ", "JANITORIAL SUPPLIES")</f>
        <v xml:space="preserve">          6237 - JANITORIAL SUPPLIES</v>
      </c>
      <c r="C133" s="11"/>
      <c r="D133" s="7">
        <v>1303.78</v>
      </c>
      <c r="E133" s="2"/>
      <c r="F133" s="6">
        <f t="shared" si="93"/>
        <v>1.9245019499867142E-3</v>
      </c>
      <c r="G133" s="2"/>
      <c r="H133" s="7">
        <v>10</v>
      </c>
      <c r="I133" s="2"/>
      <c r="J133" s="6">
        <f t="shared" si="94"/>
        <v>2.0314756842517974E-5</v>
      </c>
      <c r="K133" s="2"/>
      <c r="L133" s="7">
        <f t="shared" si="95"/>
        <v>1293.78</v>
      </c>
      <c r="M133" s="2"/>
      <c r="N133" s="6">
        <f t="shared" si="96"/>
        <v>129.37799999999999</v>
      </c>
      <c r="O133" s="11"/>
      <c r="P133" s="7">
        <v>3376.47</v>
      </c>
      <c r="Q133" s="2"/>
      <c r="R133" s="6">
        <f t="shared" si="97"/>
        <v>9.3563453868351551E-4</v>
      </c>
      <c r="S133" s="2"/>
      <c r="T133" s="7">
        <v>80</v>
      </c>
      <c r="U133" s="2"/>
      <c r="V133" s="6">
        <f t="shared" si="98"/>
        <v>1.5161617153247182E-5</v>
      </c>
      <c r="W133" s="2"/>
      <c r="X133" s="7">
        <f t="shared" si="99"/>
        <v>3296.47</v>
      </c>
      <c r="Y133" s="2"/>
      <c r="Z133" s="6">
        <f t="shared" si="100"/>
        <v>41.205874999999999</v>
      </c>
    </row>
    <row r="134" spans="1:26" s="24" customFormat="1" hidden="1" outlineLevel="2" x14ac:dyDescent="0.25">
      <c r="A134" s="27"/>
      <c r="B134" s="11" t="str">
        <f>CONCATENATE("          ", "6241", " - ", "OFFICE EXPENSE")</f>
        <v xml:space="preserve">          6241 - OFFICE EXPENSE</v>
      </c>
      <c r="C134" s="11"/>
      <c r="D134" s="7">
        <v>1149.57</v>
      </c>
      <c r="E134" s="2"/>
      <c r="F134" s="6">
        <f t="shared" si="93"/>
        <v>1.6968734806840316E-3</v>
      </c>
      <c r="G134" s="2"/>
      <c r="H134" s="7">
        <v>580</v>
      </c>
      <c r="I134" s="2"/>
      <c r="J134" s="6">
        <f t="shared" si="94"/>
        <v>1.1782558968660424E-3</v>
      </c>
      <c r="K134" s="2"/>
      <c r="L134" s="7">
        <f t="shared" si="95"/>
        <v>569.56999999999994</v>
      </c>
      <c r="M134" s="2"/>
      <c r="N134" s="6">
        <f t="shared" si="96"/>
        <v>0.98201724137931024</v>
      </c>
      <c r="O134" s="11"/>
      <c r="P134" s="7">
        <v>7335.91</v>
      </c>
      <c r="Q134" s="2"/>
      <c r="R134" s="6">
        <f t="shared" si="97"/>
        <v>2.0328126027104607E-3</v>
      </c>
      <c r="S134" s="2"/>
      <c r="T134" s="7">
        <v>2620</v>
      </c>
      <c r="U134" s="2"/>
      <c r="V134" s="6">
        <f t="shared" si="98"/>
        <v>4.9654296176884522E-4</v>
      </c>
      <c r="W134" s="2"/>
      <c r="X134" s="7">
        <f t="shared" si="99"/>
        <v>4715.91</v>
      </c>
      <c r="Y134" s="2"/>
      <c r="Z134" s="6">
        <f t="shared" si="100"/>
        <v>1.7999656488549618</v>
      </c>
    </row>
    <row r="135" spans="1:26" s="24" customFormat="1" hidden="1" outlineLevel="2" x14ac:dyDescent="0.25">
      <c r="A135" s="27"/>
      <c r="B135" s="11" t="str">
        <f>CONCATENATE("          ", "6243", " - ", "PAPER SUPPLIES")</f>
        <v xml:space="preserve">          6243 - PAPER SUPPLIES</v>
      </c>
      <c r="C135" s="11"/>
      <c r="D135" s="7">
        <v>735.87</v>
      </c>
      <c r="E135" s="2"/>
      <c r="F135" s="6">
        <f t="shared" si="93"/>
        <v>1.0862133564993506E-3</v>
      </c>
      <c r="G135" s="2"/>
      <c r="H135" s="7">
        <v>3500</v>
      </c>
      <c r="I135" s="2"/>
      <c r="J135" s="6">
        <f t="shared" si="94"/>
        <v>7.110164894881291E-3</v>
      </c>
      <c r="K135" s="2"/>
      <c r="L135" s="7">
        <f t="shared" si="95"/>
        <v>-2764.13</v>
      </c>
      <c r="M135" s="2"/>
      <c r="N135" s="6">
        <f t="shared" si="96"/>
        <v>-0.78975142857142855</v>
      </c>
      <c r="O135" s="11"/>
      <c r="P135" s="7">
        <v>4186.79</v>
      </c>
      <c r="Q135" s="2"/>
      <c r="R135" s="6">
        <f t="shared" si="97"/>
        <v>1.1601777389447429E-3</v>
      </c>
      <c r="S135" s="2"/>
      <c r="T135" s="7">
        <v>16100</v>
      </c>
      <c r="U135" s="2"/>
      <c r="V135" s="6">
        <f t="shared" si="98"/>
        <v>3.0512754520909953E-3</v>
      </c>
      <c r="W135" s="2"/>
      <c r="X135" s="7">
        <f t="shared" si="99"/>
        <v>-11913.21</v>
      </c>
      <c r="Y135" s="2"/>
      <c r="Z135" s="6">
        <f t="shared" si="100"/>
        <v>-0.73995093167701853</v>
      </c>
    </row>
    <row r="136" spans="1:26" s="24" customFormat="1" hidden="1" outlineLevel="2" x14ac:dyDescent="0.25">
      <c r="A136" s="27"/>
      <c r="B136" s="11" t="str">
        <f>CONCATENATE("          ", "6245", " - ", "PRINTING")</f>
        <v xml:space="preserve">          6245 - PRINTING</v>
      </c>
      <c r="C136" s="11"/>
      <c r="D136" s="7">
        <v>296.68</v>
      </c>
      <c r="E136" s="2"/>
      <c r="F136" s="6">
        <f t="shared" si="93"/>
        <v>4.3792759401283833E-4</v>
      </c>
      <c r="G136" s="2"/>
      <c r="H136" s="7">
        <v>250</v>
      </c>
      <c r="I136" s="2"/>
      <c r="J136" s="6">
        <f t="shared" si="94"/>
        <v>5.078689210629493E-4</v>
      </c>
      <c r="K136" s="2"/>
      <c r="L136" s="7">
        <f t="shared" si="95"/>
        <v>46.680000000000007</v>
      </c>
      <c r="M136" s="2"/>
      <c r="N136" s="6">
        <f t="shared" si="96"/>
        <v>0.18672000000000002</v>
      </c>
      <c r="O136" s="11"/>
      <c r="P136" s="7">
        <v>-27.07</v>
      </c>
      <c r="Q136" s="2"/>
      <c r="R136" s="6">
        <f t="shared" si="97"/>
        <v>-7.5012148670542805E-6</v>
      </c>
      <c r="S136" s="2"/>
      <c r="T136" s="7">
        <v>1905</v>
      </c>
      <c r="U136" s="2"/>
      <c r="V136" s="6">
        <f t="shared" si="98"/>
        <v>3.6103600846169854E-4</v>
      </c>
      <c r="W136" s="2"/>
      <c r="X136" s="7">
        <f t="shared" si="99"/>
        <v>-1932.07</v>
      </c>
      <c r="Y136" s="2"/>
      <c r="Z136" s="6">
        <f t="shared" si="100"/>
        <v>-1.0142099737532808</v>
      </c>
    </row>
    <row r="137" spans="1:26" s="24" customFormat="1" hidden="1" outlineLevel="2" x14ac:dyDescent="0.25">
      <c r="A137" s="27"/>
      <c r="B137" s="11" t="str">
        <f>CONCATENATE("          ", "6247", " - ", "STORE SUPPLIES")</f>
        <v xml:space="preserve">          6247 - STORE SUPPLIES</v>
      </c>
      <c r="C137" s="11"/>
      <c r="D137" s="7">
        <v>6376.15</v>
      </c>
      <c r="E137" s="2"/>
      <c r="F137" s="6">
        <f t="shared" si="93"/>
        <v>9.4117973188787892E-3</v>
      </c>
      <c r="G137" s="2"/>
      <c r="H137" s="7">
        <v>5875</v>
      </c>
      <c r="I137" s="2"/>
      <c r="J137" s="6">
        <f t="shared" si="94"/>
        <v>1.193491964497931E-2</v>
      </c>
      <c r="K137" s="2"/>
      <c r="L137" s="7">
        <f t="shared" si="95"/>
        <v>501.14999999999964</v>
      </c>
      <c r="M137" s="2"/>
      <c r="N137" s="6">
        <f t="shared" si="96"/>
        <v>8.53021276595744E-2</v>
      </c>
      <c r="O137" s="11"/>
      <c r="P137" s="7">
        <v>22205.35</v>
      </c>
      <c r="Q137" s="2"/>
      <c r="R137" s="6">
        <f t="shared" si="97"/>
        <v>6.1531991706000651E-3</v>
      </c>
      <c r="S137" s="2"/>
      <c r="T137" s="7">
        <v>23205</v>
      </c>
      <c r="U137" s="2"/>
      <c r="V137" s="6">
        <f t="shared" si="98"/>
        <v>4.3978165755137605E-3</v>
      </c>
      <c r="W137" s="2"/>
      <c r="X137" s="7">
        <f t="shared" si="99"/>
        <v>-999.65000000000146</v>
      </c>
      <c r="Y137" s="2"/>
      <c r="Z137" s="6">
        <f t="shared" si="100"/>
        <v>-4.3079077784960201E-2</v>
      </c>
    </row>
    <row r="138" spans="1:26" s="28" customFormat="1" outlineLevel="1" collapsed="1" x14ac:dyDescent="0.25">
      <c r="A138" s="29"/>
      <c r="B138" s="14" t="str">
        <f>CONCATENATE("     ","Telephone/Data Lines                              ")</f>
        <v xml:space="preserve">     Telephone/Data Lines                              </v>
      </c>
      <c r="C138" s="14"/>
      <c r="D138" s="1">
        <f>SUM(OSRRefD22_21x_0)</f>
        <v>2607.34</v>
      </c>
      <c r="E138" s="1"/>
      <c r="F138" s="5">
        <f t="shared" ref="F138:F140" si="101">IF(D$12=0,0,D138/D$12)</f>
        <v>3.8486791592740799E-3</v>
      </c>
      <c r="G138" s="1"/>
      <c r="H138" s="1">
        <f>SUM(OSRRefH22_21x_0)</f>
        <v>2060</v>
      </c>
      <c r="I138" s="1"/>
      <c r="J138" s="5">
        <f t="shared" ref="J138:J140" si="102">IF(H$12=0,0,H138/H$12)</f>
        <v>4.1848399095587028E-3</v>
      </c>
      <c r="K138" s="1"/>
      <c r="L138" s="1">
        <f t="shared" ref="L138:L140" si="103">+D138-H138</f>
        <v>547.34000000000015</v>
      </c>
      <c r="M138" s="1"/>
      <c r="N138" s="5">
        <f t="shared" ref="N138:N140" si="104">IF(H138=0,0,L138/H138)</f>
        <v>0.26569902912621368</v>
      </c>
      <c r="O138" s="14"/>
      <c r="P138" s="1">
        <f>SUM(OSRRefP22_21x_0)</f>
        <v>8471.61</v>
      </c>
      <c r="Q138" s="1"/>
      <c r="R138" s="5">
        <f t="shared" ref="R138:R140" si="105">IF(P$12=0,0,P138/P$12)</f>
        <v>2.3475200177275847E-3</v>
      </c>
      <c r="S138" s="1"/>
      <c r="T138" s="1">
        <f>SUM(OSRRefT22_21x_0)</f>
        <v>8590</v>
      </c>
      <c r="U138" s="1"/>
      <c r="V138" s="5">
        <f t="shared" ref="V138:V140" si="106">IF(T$12=0,0,T138/T$12)</f>
        <v>1.6279786418299162E-3</v>
      </c>
      <c r="W138" s="1"/>
      <c r="X138" s="1">
        <f t="shared" ref="X138:X140" si="107">+P138-T138</f>
        <v>-118.38999999999942</v>
      </c>
      <c r="Y138" s="1"/>
      <c r="Z138" s="5">
        <f t="shared" ref="Z138:Z140" si="108">IF(T138=0,0,X138/T138)</f>
        <v>-1.3782305005820655E-2</v>
      </c>
    </row>
    <row r="139" spans="1:26" s="24" customFormat="1" hidden="1" outlineLevel="2" x14ac:dyDescent="0.25">
      <c r="A139" s="27"/>
      <c r="B139" s="11" t="str">
        <f>CONCATENATE("          ", "6303", " - ", "DATA PHONE LINES")</f>
        <v xml:space="preserve">          6303 - DATA PHONE LINES</v>
      </c>
      <c r="C139" s="11"/>
      <c r="D139" s="7"/>
      <c r="E139" s="2"/>
      <c r="F139" s="6">
        <f t="shared" si="101"/>
        <v>0</v>
      </c>
      <c r="G139" s="2"/>
      <c r="H139" s="7">
        <v>0</v>
      </c>
      <c r="I139" s="2"/>
      <c r="J139" s="6">
        <f t="shared" si="102"/>
        <v>0</v>
      </c>
      <c r="K139" s="2"/>
      <c r="L139" s="7">
        <f t="shared" si="103"/>
        <v>0</v>
      </c>
      <c r="M139" s="2"/>
      <c r="N139" s="6">
        <f t="shared" si="104"/>
        <v>0</v>
      </c>
      <c r="O139" s="11"/>
      <c r="P139" s="7">
        <v>295</v>
      </c>
      <c r="Q139" s="2"/>
      <c r="R139" s="6">
        <f t="shared" si="105"/>
        <v>8.1745784476579709E-5</v>
      </c>
      <c r="S139" s="2"/>
      <c r="T139" s="7">
        <v>0</v>
      </c>
      <c r="U139" s="2"/>
      <c r="V139" s="6">
        <f t="shared" si="106"/>
        <v>0</v>
      </c>
      <c r="W139" s="2"/>
      <c r="X139" s="7">
        <f t="shared" si="107"/>
        <v>295</v>
      </c>
      <c r="Y139" s="2"/>
      <c r="Z139" s="6">
        <f t="shared" si="108"/>
        <v>0</v>
      </c>
    </row>
    <row r="140" spans="1:26" s="24" customFormat="1" hidden="1" outlineLevel="2" x14ac:dyDescent="0.25">
      <c r="A140" s="27"/>
      <c r="B140" s="11" t="str">
        <f>CONCATENATE("          ", "6309", " - ", "TELEPHONE")</f>
        <v xml:space="preserve">          6309 - TELEPHONE</v>
      </c>
      <c r="C140" s="11"/>
      <c r="D140" s="7">
        <v>2607.34</v>
      </c>
      <c r="E140" s="2"/>
      <c r="F140" s="6">
        <f t="shared" si="101"/>
        <v>3.8486791592740799E-3</v>
      </c>
      <c r="G140" s="2"/>
      <c r="H140" s="7">
        <v>2060</v>
      </c>
      <c r="I140" s="2"/>
      <c r="J140" s="6">
        <f t="shared" si="102"/>
        <v>4.1848399095587028E-3</v>
      </c>
      <c r="K140" s="2"/>
      <c r="L140" s="7">
        <f t="shared" si="103"/>
        <v>547.34000000000015</v>
      </c>
      <c r="M140" s="2"/>
      <c r="N140" s="6">
        <f t="shared" si="104"/>
        <v>0.26569902912621368</v>
      </c>
      <c r="O140" s="11"/>
      <c r="P140" s="7">
        <v>8176.61</v>
      </c>
      <c r="Q140" s="2"/>
      <c r="R140" s="6">
        <f t="shared" si="105"/>
        <v>2.2657742332510048E-3</v>
      </c>
      <c r="S140" s="2"/>
      <c r="T140" s="7">
        <v>8590</v>
      </c>
      <c r="U140" s="2"/>
      <c r="V140" s="6">
        <f t="shared" si="106"/>
        <v>1.6279786418299162E-3</v>
      </c>
      <c r="W140" s="2"/>
      <c r="X140" s="7">
        <f t="shared" si="107"/>
        <v>-413.39000000000033</v>
      </c>
      <c r="Y140" s="2"/>
      <c r="Z140" s="6">
        <f t="shared" si="108"/>
        <v>-4.8124563445867324E-2</v>
      </c>
    </row>
    <row r="141" spans="1:26" s="28" customFormat="1" outlineLevel="1" collapsed="1" x14ac:dyDescent="0.25">
      <c r="A141" s="29"/>
      <c r="B141" s="14" t="str">
        <f>CONCATENATE("     ","Training                                          ")</f>
        <v xml:space="preserve">     Training                                          </v>
      </c>
      <c r="C141" s="14"/>
      <c r="D141" s="1">
        <f>SUM(OSRRefD22_22x_0)</f>
        <v>0</v>
      </c>
      <c r="E141" s="1"/>
      <c r="F141" s="5">
        <f t="shared" ref="F141:F146" si="109">IF(D$12=0,0,D141/D$12)</f>
        <v>0</v>
      </c>
      <c r="G141" s="1"/>
      <c r="H141" s="1">
        <f>SUM(OSRRefH22_22x_0)</f>
        <v>0</v>
      </c>
      <c r="I141" s="1"/>
      <c r="J141" s="5">
        <f t="shared" ref="J141:J146" si="110">IF(H$12=0,0,H141/H$12)</f>
        <v>0</v>
      </c>
      <c r="K141" s="1"/>
      <c r="L141" s="1">
        <f t="shared" ref="L141:L146" si="111">+D141-H141</f>
        <v>0</v>
      </c>
      <c r="M141" s="1"/>
      <c r="N141" s="5">
        <f t="shared" ref="N141:N146" si="112">IF(H141=0,0,L141/H141)</f>
        <v>0</v>
      </c>
      <c r="O141" s="14"/>
      <c r="P141" s="1">
        <f>SUM(OSRRefP22_22x_0)</f>
        <v>595</v>
      </c>
      <c r="Q141" s="1"/>
      <c r="R141" s="5">
        <f t="shared" ref="R141:R146" si="113">IF(P$12=0,0,P141/P$12)</f>
        <v>1.648770907239489E-4</v>
      </c>
      <c r="S141" s="1"/>
      <c r="T141" s="1">
        <f>SUM(OSRRefT22_22x_0)</f>
        <v>0</v>
      </c>
      <c r="U141" s="1"/>
      <c r="V141" s="5">
        <f t="shared" ref="V141:V146" si="114">IF(T$12=0,0,T141/T$12)</f>
        <v>0</v>
      </c>
      <c r="W141" s="1"/>
      <c r="X141" s="1">
        <f t="shared" ref="X141:X146" si="115">+P141-T141</f>
        <v>595</v>
      </c>
      <c r="Y141" s="1"/>
      <c r="Z141" s="5">
        <f t="shared" ref="Z141:Z146" si="116">IF(T141=0,0,X141/T141)</f>
        <v>0</v>
      </c>
    </row>
    <row r="142" spans="1:26" s="24" customFormat="1" hidden="1" outlineLevel="2" x14ac:dyDescent="0.25">
      <c r="A142" s="27"/>
      <c r="B142" s="11" t="str">
        <f>CONCATENATE("          ", "6376", " - ", "TRAINING")</f>
        <v xml:space="preserve">          6376 - TRAINING</v>
      </c>
      <c r="C142" s="11"/>
      <c r="D142" s="7"/>
      <c r="E142" s="2"/>
      <c r="F142" s="6">
        <f t="shared" si="109"/>
        <v>0</v>
      </c>
      <c r="G142" s="2"/>
      <c r="H142" s="7"/>
      <c r="I142" s="2"/>
      <c r="J142" s="6">
        <f t="shared" si="110"/>
        <v>0</v>
      </c>
      <c r="K142" s="2"/>
      <c r="L142" s="7">
        <f t="shared" si="111"/>
        <v>0</v>
      </c>
      <c r="M142" s="2"/>
      <c r="N142" s="6">
        <f t="shared" si="112"/>
        <v>0</v>
      </c>
      <c r="O142" s="11"/>
      <c r="P142" s="7">
        <v>595</v>
      </c>
      <c r="Q142" s="2"/>
      <c r="R142" s="6">
        <f t="shared" si="113"/>
        <v>1.648770907239489E-4</v>
      </c>
      <c r="S142" s="2"/>
      <c r="T142" s="7"/>
      <c r="U142" s="2"/>
      <c r="V142" s="6">
        <f t="shared" si="114"/>
        <v>0</v>
      </c>
      <c r="W142" s="2"/>
      <c r="X142" s="7">
        <f t="shared" si="115"/>
        <v>595</v>
      </c>
      <c r="Y142" s="2"/>
      <c r="Z142" s="6">
        <f t="shared" si="116"/>
        <v>0</v>
      </c>
    </row>
    <row r="143" spans="1:26" s="28" customFormat="1" outlineLevel="1" collapsed="1" x14ac:dyDescent="0.25">
      <c r="A143" s="29"/>
      <c r="B143" s="14" t="str">
        <f>CONCATENATE("     ","Travel                                            ")</f>
        <v xml:space="preserve">     Travel                                            </v>
      </c>
      <c r="C143" s="14"/>
      <c r="D143" s="1">
        <f>SUM(OSRRefD22_23x_0)</f>
        <v>50</v>
      </c>
      <c r="E143" s="1"/>
      <c r="F143" s="5">
        <f t="shared" si="109"/>
        <v>7.3804704397471748E-5</v>
      </c>
      <c r="G143" s="1"/>
      <c r="H143" s="1">
        <f>SUM(OSRRefH22_23x_0)</f>
        <v>175</v>
      </c>
      <c r="I143" s="1"/>
      <c r="J143" s="5">
        <f t="shared" si="110"/>
        <v>3.5550824474406452E-4</v>
      </c>
      <c r="K143" s="1"/>
      <c r="L143" s="1">
        <f t="shared" si="111"/>
        <v>-125</v>
      </c>
      <c r="M143" s="1"/>
      <c r="N143" s="5">
        <f t="shared" si="112"/>
        <v>-0.7142857142857143</v>
      </c>
      <c r="O143" s="14"/>
      <c r="P143" s="1">
        <f>SUM(OSRRefP22_23x_0)</f>
        <v>760.53</v>
      </c>
      <c r="Q143" s="1"/>
      <c r="R143" s="5">
        <f t="shared" si="113"/>
        <v>2.1074617446770565E-4</v>
      </c>
      <c r="S143" s="1"/>
      <c r="T143" s="1">
        <f>SUM(OSRRefT22_23x_0)</f>
        <v>700</v>
      </c>
      <c r="U143" s="1"/>
      <c r="V143" s="5">
        <f t="shared" si="114"/>
        <v>1.3266415009091285E-4</v>
      </c>
      <c r="W143" s="1"/>
      <c r="X143" s="1">
        <f t="shared" si="115"/>
        <v>60.529999999999973</v>
      </c>
      <c r="Y143" s="1"/>
      <c r="Z143" s="5">
        <f t="shared" si="116"/>
        <v>8.6471428571428532E-2</v>
      </c>
    </row>
    <row r="144" spans="1:26" s="24" customFormat="1" hidden="1" outlineLevel="2" x14ac:dyDescent="0.25">
      <c r="A144" s="27"/>
      <c r="B144" s="11" t="str">
        <f>CONCATENATE("          ", "6292", " - ", "TRAVEL/CONFERENCE")</f>
        <v xml:space="preserve">          6292 - TRAVEL/CONFERENCE</v>
      </c>
      <c r="C144" s="11"/>
      <c r="D144" s="7"/>
      <c r="E144" s="2"/>
      <c r="F144" s="6">
        <f t="shared" si="109"/>
        <v>0</v>
      </c>
      <c r="G144" s="2"/>
      <c r="H144" s="7">
        <v>125</v>
      </c>
      <c r="I144" s="2"/>
      <c r="J144" s="6">
        <f t="shared" si="110"/>
        <v>2.5393446053147465E-4</v>
      </c>
      <c r="K144" s="2"/>
      <c r="L144" s="7">
        <f t="shared" si="111"/>
        <v>-125</v>
      </c>
      <c r="M144" s="2"/>
      <c r="N144" s="6">
        <f t="shared" si="112"/>
        <v>-1</v>
      </c>
      <c r="O144" s="11"/>
      <c r="P144" s="7">
        <v>495</v>
      </c>
      <c r="Q144" s="2"/>
      <c r="R144" s="6">
        <f t="shared" si="113"/>
        <v>1.3716665530815917E-4</v>
      </c>
      <c r="S144" s="2"/>
      <c r="T144" s="7">
        <v>500</v>
      </c>
      <c r="U144" s="2"/>
      <c r="V144" s="6">
        <f t="shared" si="114"/>
        <v>9.4760107207794895E-5</v>
      </c>
      <c r="W144" s="2"/>
      <c r="X144" s="7">
        <f t="shared" si="115"/>
        <v>-5</v>
      </c>
      <c r="Y144" s="2"/>
      <c r="Z144" s="6">
        <f t="shared" si="116"/>
        <v>-0.01</v>
      </c>
    </row>
    <row r="145" spans="1:26" s="24" customFormat="1" hidden="1" outlineLevel="2" x14ac:dyDescent="0.25">
      <c r="A145" s="27"/>
      <c r="B145" s="11" t="str">
        <f>CONCATENATE("          ", "6294", " - ", "TRAVEL OPERATIONAL")</f>
        <v xml:space="preserve">          6294 - TRAVEL OPERATIONAL</v>
      </c>
      <c r="C145" s="11"/>
      <c r="D145" s="7"/>
      <c r="E145" s="2"/>
      <c r="F145" s="6">
        <f t="shared" si="109"/>
        <v>0</v>
      </c>
      <c r="G145" s="2"/>
      <c r="H145" s="7">
        <v>25</v>
      </c>
      <c r="I145" s="2"/>
      <c r="J145" s="6">
        <f t="shared" si="110"/>
        <v>5.0786892106294935E-5</v>
      </c>
      <c r="K145" s="2"/>
      <c r="L145" s="7">
        <f t="shared" si="111"/>
        <v>-25</v>
      </c>
      <c r="M145" s="2"/>
      <c r="N145" s="6">
        <f t="shared" si="112"/>
        <v>-1</v>
      </c>
      <c r="O145" s="11"/>
      <c r="P145" s="7">
        <v>215.53</v>
      </c>
      <c r="Q145" s="2"/>
      <c r="R145" s="6">
        <f t="shared" si="113"/>
        <v>5.9724301451651611E-5</v>
      </c>
      <c r="S145" s="2"/>
      <c r="T145" s="7">
        <v>100</v>
      </c>
      <c r="U145" s="2"/>
      <c r="V145" s="6">
        <f t="shared" si="114"/>
        <v>1.8952021441558978E-5</v>
      </c>
      <c r="W145" s="2"/>
      <c r="X145" s="7">
        <f t="shared" si="115"/>
        <v>115.53</v>
      </c>
      <c r="Y145" s="2"/>
      <c r="Z145" s="6">
        <f t="shared" si="116"/>
        <v>1.1553</v>
      </c>
    </row>
    <row r="146" spans="1:26" s="24" customFormat="1" hidden="1" outlineLevel="2" x14ac:dyDescent="0.25">
      <c r="A146" s="27"/>
      <c r="B146" s="11" t="str">
        <f>CONCATENATE("          ", "6298", " - ", "VEHICLE MILEAGE")</f>
        <v xml:space="preserve">          6298 - VEHICLE MILEAGE</v>
      </c>
      <c r="C146" s="11"/>
      <c r="D146" s="7">
        <v>50</v>
      </c>
      <c r="E146" s="2"/>
      <c r="F146" s="6">
        <f t="shared" si="109"/>
        <v>7.3804704397471748E-5</v>
      </c>
      <c r="G146" s="2"/>
      <c r="H146" s="7">
        <v>25</v>
      </c>
      <c r="I146" s="2"/>
      <c r="J146" s="6">
        <f t="shared" si="110"/>
        <v>5.0786892106294935E-5</v>
      </c>
      <c r="K146" s="2"/>
      <c r="L146" s="7">
        <f t="shared" si="111"/>
        <v>25</v>
      </c>
      <c r="M146" s="2"/>
      <c r="N146" s="6">
        <f t="shared" si="112"/>
        <v>1</v>
      </c>
      <c r="O146" s="11"/>
      <c r="P146" s="7">
        <v>50</v>
      </c>
      <c r="Q146" s="2"/>
      <c r="R146" s="6">
        <f t="shared" si="113"/>
        <v>1.3855217707894867E-5</v>
      </c>
      <c r="S146" s="2"/>
      <c r="T146" s="7">
        <v>100</v>
      </c>
      <c r="U146" s="2"/>
      <c r="V146" s="6">
        <f t="shared" si="114"/>
        <v>1.8952021441558978E-5</v>
      </c>
      <c r="W146" s="2"/>
      <c r="X146" s="7">
        <f t="shared" si="115"/>
        <v>-50</v>
      </c>
      <c r="Y146" s="2"/>
      <c r="Z146" s="6">
        <f t="shared" si="116"/>
        <v>-0.5</v>
      </c>
    </row>
    <row r="147" spans="1:26" s="28" customFormat="1" outlineLevel="1" collapsed="1" x14ac:dyDescent="0.25">
      <c r="A147" s="29"/>
      <c r="B147" s="14" t="str">
        <f>CONCATENATE("     ","Utilities                                         ")</f>
        <v xml:space="preserve">     Utilities                                         </v>
      </c>
      <c r="C147" s="14"/>
      <c r="D147" s="1">
        <f>SUM(OSRRefD22_24x_0)</f>
        <v>6038.6</v>
      </c>
      <c r="E147" s="1"/>
      <c r="F147" s="5">
        <f t="shared" ref="F147:F148" si="117">IF(D$12=0,0,D147/D$12)</f>
        <v>8.9135417594914581E-3</v>
      </c>
      <c r="G147" s="1"/>
      <c r="H147" s="1">
        <f>SUM(OSRRefH22_24x_0)</f>
        <v>6120</v>
      </c>
      <c r="I147" s="1"/>
      <c r="J147" s="5">
        <f t="shared" ref="J147:J148" si="118">IF(H$12=0,0,H147/H$12)</f>
        <v>1.2432631187621E-2</v>
      </c>
      <c r="K147" s="1"/>
      <c r="L147" s="1">
        <f t="shared" ref="L147:L148" si="119">+D147-H147</f>
        <v>-81.399999999999636</v>
      </c>
      <c r="M147" s="1"/>
      <c r="N147" s="5">
        <f t="shared" ref="N147:N148" si="120">IF(H147=0,0,L147/H147)</f>
        <v>-1.3300653594771183E-2</v>
      </c>
      <c r="O147" s="14"/>
      <c r="P147" s="1">
        <f>SUM(OSRRefP22_24x_0)</f>
        <v>24149.98</v>
      </c>
      <c r="Q147" s="1"/>
      <c r="R147" s="5">
        <f t="shared" ref="R147:R148" si="121">IF(P$12=0,0,P147/P$12)</f>
        <v>6.6920646108261372E-3</v>
      </c>
      <c r="S147" s="1"/>
      <c r="T147" s="1">
        <f>SUM(OSRRefT22_24x_0)</f>
        <v>24480</v>
      </c>
      <c r="U147" s="1"/>
      <c r="V147" s="5">
        <f t="shared" ref="V147:V148" si="122">IF(T$12=0,0,T147/T$12)</f>
        <v>4.639454848893638E-3</v>
      </c>
      <c r="W147" s="1"/>
      <c r="X147" s="1">
        <f t="shared" ref="X147:X148" si="123">+P147-T147</f>
        <v>-330.02000000000044</v>
      </c>
      <c r="Y147" s="1"/>
      <c r="Z147" s="5">
        <f t="shared" ref="Z147:Z148" si="124">IF(T147=0,0,X147/T147)</f>
        <v>-1.3481209150326814E-2</v>
      </c>
    </row>
    <row r="148" spans="1:26" s="24" customFormat="1" hidden="1" outlineLevel="2" x14ac:dyDescent="0.25">
      <c r="A148" s="27"/>
      <c r="B148" s="11" t="str">
        <f>CONCATENATE("          ", "6274", " - ", "UTILITIES")</f>
        <v xml:space="preserve">          6274 - UTILITIES</v>
      </c>
      <c r="C148" s="11"/>
      <c r="D148" s="7">
        <v>6038.6</v>
      </c>
      <c r="E148" s="2"/>
      <c r="F148" s="6">
        <f t="shared" si="117"/>
        <v>8.9135417594914581E-3</v>
      </c>
      <c r="G148" s="2"/>
      <c r="H148" s="7">
        <v>6120</v>
      </c>
      <c r="I148" s="2"/>
      <c r="J148" s="6">
        <f t="shared" si="118"/>
        <v>1.2432631187621E-2</v>
      </c>
      <c r="K148" s="2"/>
      <c r="L148" s="7">
        <f t="shared" si="119"/>
        <v>-81.399999999999636</v>
      </c>
      <c r="M148" s="2"/>
      <c r="N148" s="6">
        <f t="shared" si="120"/>
        <v>-1.3300653594771183E-2</v>
      </c>
      <c r="O148" s="11"/>
      <c r="P148" s="7">
        <v>24149.98</v>
      </c>
      <c r="Q148" s="2"/>
      <c r="R148" s="6">
        <f t="shared" si="121"/>
        <v>6.6920646108261372E-3</v>
      </c>
      <c r="S148" s="2"/>
      <c r="T148" s="7">
        <v>24480</v>
      </c>
      <c r="U148" s="2"/>
      <c r="V148" s="6">
        <f t="shared" si="122"/>
        <v>4.639454848893638E-3</v>
      </c>
      <c r="W148" s="2"/>
      <c r="X148" s="7">
        <f t="shared" si="123"/>
        <v>-330.02000000000044</v>
      </c>
      <c r="Y148" s="2"/>
      <c r="Z148" s="6">
        <f t="shared" si="124"/>
        <v>-1.3481209150326814E-2</v>
      </c>
    </row>
    <row r="149" spans="1:26" s="60" customFormat="1" x14ac:dyDescent="0.25">
      <c r="A149" s="36"/>
      <c r="B149" s="36"/>
      <c r="C149" s="36"/>
      <c r="D149" s="1"/>
      <c r="E149" s="1"/>
      <c r="F149" s="5"/>
      <c r="G149" s="1"/>
      <c r="H149" s="1"/>
      <c r="I149" s="1"/>
      <c r="J149" s="5"/>
      <c r="K149" s="1"/>
      <c r="L149" s="1"/>
      <c r="M149" s="1"/>
      <c r="N149" s="5"/>
      <c r="O149" s="36"/>
      <c r="P149" s="1"/>
      <c r="Q149" s="1"/>
      <c r="R149" s="5"/>
      <c r="S149" s="1"/>
      <c r="T149" s="1"/>
      <c r="U149" s="1"/>
      <c r="V149" s="5"/>
      <c r="W149" s="1"/>
      <c r="X149" s="1"/>
      <c r="Y149" s="1"/>
      <c r="Z149" s="5"/>
    </row>
    <row r="150" spans="1:26" s="23" customFormat="1" collapsed="1" x14ac:dyDescent="0.25">
      <c r="A150" s="10"/>
      <c r="B150" s="25" t="s">
        <v>293</v>
      </c>
      <c r="C150" s="10"/>
      <c r="D150" s="4">
        <f>SUM(OSRRefD25x_0)</f>
        <v>37823.509999999995</v>
      </c>
      <c r="E150" s="4"/>
      <c r="F150" s="12">
        <f t="shared" ref="F150:F157" si="125">IF(D$12=0,0,D150/D$12)</f>
        <v>5.5831059496496319E-2</v>
      </c>
      <c r="G150" s="4"/>
      <c r="H150" s="4">
        <f>SUM(OSRRefH25x_0)</f>
        <v>30312</v>
      </c>
      <c r="I150" s="4"/>
      <c r="J150" s="12">
        <f t="shared" ref="J150:J157" si="126">IF(H$12=0,0,H150/H$12)</f>
        <v>6.1578090941040484E-2</v>
      </c>
      <c r="K150" s="4"/>
      <c r="L150" s="4">
        <f t="shared" ref="L150:L157" si="127">+D150-H150</f>
        <v>7511.5099999999948</v>
      </c>
      <c r="M150" s="4"/>
      <c r="N150" s="12">
        <f t="shared" ref="N150:N157" si="128">IF(H150=0,0,L150/H150)</f>
        <v>0.24780647928213231</v>
      </c>
      <c r="O150" s="10"/>
      <c r="P150" s="4">
        <f>SUM(OSRRefP25x_0)</f>
        <v>403446.23</v>
      </c>
      <c r="Q150" s="4"/>
      <c r="R150" s="12">
        <f t="shared" ref="R150:R157" si="129">IF(P$12=0,0,P150/P$12)</f>
        <v>0.1117967070015885</v>
      </c>
      <c r="S150" s="4"/>
      <c r="T150" s="4">
        <f>SUM(OSRRefT25x_0)</f>
        <v>294841.5</v>
      </c>
      <c r="U150" s="4"/>
      <c r="V150" s="12">
        <f t="shared" ref="V150:V157" si="130">IF(T$12=0,0,T150/T$12)</f>
        <v>5.5878424298614116E-2</v>
      </c>
      <c r="W150" s="4"/>
      <c r="X150" s="4">
        <f t="shared" ref="X150:X157" si="131">+P150-T150</f>
        <v>108604.72999999998</v>
      </c>
      <c r="Y150" s="4"/>
      <c r="Z150" s="12">
        <f t="shared" ref="Z150:Z157" si="132">IF(T150=0,0,X150/T150)</f>
        <v>0.36834953695460099</v>
      </c>
    </row>
    <row r="151" spans="1:26" s="24" customFormat="1" hidden="1" outlineLevel="1" x14ac:dyDescent="0.25">
      <c r="A151" s="44"/>
      <c r="B151" s="11" t="str">
        <f>CONCATENATE("          ", "4187", " - ", "NON-TAXABLE SALES-COMPUTER REP")</f>
        <v xml:space="preserve">          4187 - NON-TAXABLE SALES-COMPUTER REP</v>
      </c>
      <c r="C151" s="11"/>
      <c r="D151" s="2">
        <f>0</f>
        <v>0</v>
      </c>
      <c r="E151" s="2"/>
      <c r="F151" s="19">
        <f t="shared" si="125"/>
        <v>0</v>
      </c>
      <c r="G151" s="2"/>
      <c r="H151" s="2"/>
      <c r="I151" s="2"/>
      <c r="J151" s="19">
        <f t="shared" si="126"/>
        <v>0</v>
      </c>
      <c r="K151" s="2"/>
      <c r="L151" s="2">
        <f t="shared" si="127"/>
        <v>0</v>
      </c>
      <c r="M151" s="2"/>
      <c r="N151" s="19">
        <f t="shared" si="128"/>
        <v>0</v>
      </c>
      <c r="O151" s="11"/>
      <c r="P151" s="2">
        <f>0</f>
        <v>0</v>
      </c>
      <c r="Q151" s="2"/>
      <c r="R151" s="19">
        <f t="shared" si="129"/>
        <v>0</v>
      </c>
      <c r="S151" s="2"/>
      <c r="T151" s="2"/>
      <c r="U151" s="2"/>
      <c r="V151" s="19">
        <f t="shared" si="130"/>
        <v>0</v>
      </c>
      <c r="W151" s="2"/>
      <c r="X151" s="2">
        <f t="shared" si="131"/>
        <v>0</v>
      </c>
      <c r="Y151" s="2"/>
      <c r="Z151" s="19">
        <f t="shared" si="132"/>
        <v>0</v>
      </c>
    </row>
    <row r="152" spans="1:26" s="24" customFormat="1" hidden="1" outlineLevel="1" x14ac:dyDescent="0.25">
      <c r="A152" s="44"/>
      <c r="B152" s="11" t="str">
        <f>CONCATENATE("          ", "9087", " - ", "")</f>
        <v xml:space="preserve">          9087 - </v>
      </c>
      <c r="C152" s="11"/>
      <c r="D152" s="2">
        <f>-830.04</f>
        <v>-830.04</v>
      </c>
      <c r="E152" s="2"/>
      <c r="F152" s="19">
        <f t="shared" si="125"/>
        <v>-1.2252171367615489E-3</v>
      </c>
      <c r="G152" s="2"/>
      <c r="H152" s="2"/>
      <c r="I152" s="2"/>
      <c r="J152" s="19">
        <f t="shared" si="126"/>
        <v>0</v>
      </c>
      <c r="K152" s="2"/>
      <c r="L152" s="2">
        <f t="shared" si="127"/>
        <v>-830.04</v>
      </c>
      <c r="M152" s="2"/>
      <c r="N152" s="19">
        <f t="shared" si="128"/>
        <v>0</v>
      </c>
      <c r="O152" s="11"/>
      <c r="P152" s="2">
        <f>-466.39</f>
        <v>-466.39</v>
      </c>
      <c r="Q152" s="2"/>
      <c r="R152" s="19">
        <f t="shared" si="129"/>
        <v>-1.2923869973570173E-4</v>
      </c>
      <c r="S152" s="2"/>
      <c r="T152" s="2"/>
      <c r="U152" s="2"/>
      <c r="V152" s="19">
        <f t="shared" si="130"/>
        <v>0</v>
      </c>
      <c r="W152" s="2"/>
      <c r="X152" s="2">
        <f t="shared" si="131"/>
        <v>-466.39</v>
      </c>
      <c r="Y152" s="2"/>
      <c r="Z152" s="19">
        <f t="shared" si="132"/>
        <v>0</v>
      </c>
    </row>
    <row r="153" spans="1:26" s="24" customFormat="1" hidden="1" outlineLevel="1" x14ac:dyDescent="0.25">
      <c r="A153" s="44"/>
      <c r="B153" s="11" t="str">
        <f>CONCATENATE("          ", "9150", " - ", "MISC. INCOME")</f>
        <v xml:space="preserve">          9150 - MISC. INCOME</v>
      </c>
      <c r="C153" s="11"/>
      <c r="D153" s="2">
        <f>--28659.29</f>
        <v>28659.29</v>
      </c>
      <c r="E153" s="2"/>
      <c r="F153" s="19">
        <f t="shared" si="125"/>
        <v>4.2303808533828362E-2</v>
      </c>
      <c r="G153" s="2"/>
      <c r="H153" s="2">
        <v>30312</v>
      </c>
      <c r="I153" s="2"/>
      <c r="J153" s="19">
        <f t="shared" si="126"/>
        <v>6.1578090941040484E-2</v>
      </c>
      <c r="K153" s="2"/>
      <c r="L153" s="2">
        <f t="shared" si="127"/>
        <v>-1652.7099999999991</v>
      </c>
      <c r="M153" s="2"/>
      <c r="N153" s="19">
        <f t="shared" si="128"/>
        <v>-5.4523291105832643E-2</v>
      </c>
      <c r="O153" s="11"/>
      <c r="P153" s="2">
        <f>--160505.65</f>
        <v>160505.65</v>
      </c>
      <c r="Q153" s="2"/>
      <c r="R153" s="19">
        <f t="shared" si="129"/>
        <v>4.4476814481943509E-2</v>
      </c>
      <c r="S153" s="2"/>
      <c r="T153" s="2">
        <v>89861</v>
      </c>
      <c r="U153" s="2"/>
      <c r="V153" s="19">
        <f t="shared" si="130"/>
        <v>1.7030475987599315E-2</v>
      </c>
      <c r="W153" s="2"/>
      <c r="X153" s="2">
        <f t="shared" si="131"/>
        <v>70644.649999999994</v>
      </c>
      <c r="Y153" s="2"/>
      <c r="Z153" s="19">
        <f t="shared" si="132"/>
        <v>0.78615472785746865</v>
      </c>
    </row>
    <row r="154" spans="1:26" s="24" customFormat="1" hidden="1" outlineLevel="1" x14ac:dyDescent="0.25">
      <c r="A154" s="44"/>
      <c r="B154" s="11" t="str">
        <f>CONCATENATE("          ", "9151", " - ", "MISC. INCOME")</f>
        <v xml:space="preserve">          9151 - MISC. INCOME</v>
      </c>
      <c r="C154" s="11"/>
      <c r="D154" s="2">
        <f>0</f>
        <v>0</v>
      </c>
      <c r="E154" s="2"/>
      <c r="F154" s="19">
        <f t="shared" si="125"/>
        <v>0</v>
      </c>
      <c r="G154" s="2"/>
      <c r="H154" s="2"/>
      <c r="I154" s="2"/>
      <c r="J154" s="19">
        <f t="shared" si="126"/>
        <v>0</v>
      </c>
      <c r="K154" s="2"/>
      <c r="L154" s="2">
        <f t="shared" si="127"/>
        <v>0</v>
      </c>
      <c r="M154" s="2"/>
      <c r="N154" s="19">
        <f t="shared" si="128"/>
        <v>0</v>
      </c>
      <c r="O154" s="11"/>
      <c r="P154" s="2">
        <f>--168463.36</f>
        <v>168463.35999999999</v>
      </c>
      <c r="Q154" s="2"/>
      <c r="R154" s="19">
        <f t="shared" si="129"/>
        <v>4.6681930572069354E-2</v>
      </c>
      <c r="S154" s="2"/>
      <c r="T154" s="2">
        <v>204980.5</v>
      </c>
      <c r="U154" s="2"/>
      <c r="V154" s="19">
        <f t="shared" si="130"/>
        <v>3.8847948311014804E-2</v>
      </c>
      <c r="W154" s="2"/>
      <c r="X154" s="2">
        <f t="shared" si="131"/>
        <v>-36517.140000000014</v>
      </c>
      <c r="Y154" s="2"/>
      <c r="Z154" s="19">
        <f t="shared" si="132"/>
        <v>-0.17814933615636616</v>
      </c>
    </row>
    <row r="155" spans="1:26" s="24" customFormat="1" hidden="1" outlineLevel="1" x14ac:dyDescent="0.25">
      <c r="A155" s="44"/>
      <c r="B155" s="11" t="str">
        <f>CONCATENATE("          ", "9152", " - ", "MISC. INCOME")</f>
        <v xml:space="preserve">          9152 - MISC. INCOME</v>
      </c>
      <c r="C155" s="11"/>
      <c r="D155" s="2">
        <f>--257.3</f>
        <v>257.3</v>
      </c>
      <c r="E155" s="2"/>
      <c r="F155" s="19">
        <f t="shared" si="125"/>
        <v>3.7979900882938959E-4</v>
      </c>
      <c r="G155" s="2"/>
      <c r="H155" s="2"/>
      <c r="I155" s="2"/>
      <c r="J155" s="19">
        <f t="shared" si="126"/>
        <v>0</v>
      </c>
      <c r="K155" s="2"/>
      <c r="L155" s="2">
        <f t="shared" si="127"/>
        <v>257.3</v>
      </c>
      <c r="M155" s="2"/>
      <c r="N155" s="19">
        <f t="shared" si="128"/>
        <v>0</v>
      </c>
      <c r="O155" s="11"/>
      <c r="P155" s="2">
        <f>--2195.41</f>
        <v>2195.41</v>
      </c>
      <c r="Q155" s="2"/>
      <c r="R155" s="19">
        <f t="shared" si="129"/>
        <v>6.0835767016178936E-4</v>
      </c>
      <c r="S155" s="2"/>
      <c r="T155" s="2"/>
      <c r="U155" s="2"/>
      <c r="V155" s="19">
        <f t="shared" si="130"/>
        <v>0</v>
      </c>
      <c r="W155" s="2"/>
      <c r="X155" s="2">
        <f t="shared" si="131"/>
        <v>2195.41</v>
      </c>
      <c r="Y155" s="2"/>
      <c r="Z155" s="19">
        <f t="shared" si="132"/>
        <v>0</v>
      </c>
    </row>
    <row r="156" spans="1:26" s="24" customFormat="1" hidden="1" outlineLevel="1" x14ac:dyDescent="0.25">
      <c r="A156" s="44"/>
      <c r="B156" s="11" t="str">
        <f>CONCATENATE("          ", "9160", " - ", "MISC. INCOME")</f>
        <v xml:space="preserve">          9160 - MISC. INCOME</v>
      </c>
      <c r="C156" s="11"/>
      <c r="D156" s="2">
        <f>0</f>
        <v>0</v>
      </c>
      <c r="E156" s="2"/>
      <c r="F156" s="19">
        <f t="shared" si="125"/>
        <v>0</v>
      </c>
      <c r="G156" s="2"/>
      <c r="H156" s="2">
        <v>0</v>
      </c>
      <c r="I156" s="2"/>
      <c r="J156" s="19">
        <f t="shared" si="126"/>
        <v>0</v>
      </c>
      <c r="K156" s="2"/>
      <c r="L156" s="2">
        <f t="shared" si="127"/>
        <v>0</v>
      </c>
      <c r="M156" s="2"/>
      <c r="N156" s="19">
        <f t="shared" si="128"/>
        <v>0</v>
      </c>
      <c r="O156" s="11"/>
      <c r="P156" s="2">
        <f>0</f>
        <v>0</v>
      </c>
      <c r="Q156" s="2"/>
      <c r="R156" s="19">
        <f t="shared" si="129"/>
        <v>0</v>
      </c>
      <c r="S156" s="2"/>
      <c r="T156" s="2">
        <v>0</v>
      </c>
      <c r="U156" s="2"/>
      <c r="V156" s="19">
        <f t="shared" si="130"/>
        <v>0</v>
      </c>
      <c r="W156" s="2"/>
      <c r="X156" s="2">
        <f t="shared" si="131"/>
        <v>0</v>
      </c>
      <c r="Y156" s="2"/>
      <c r="Z156" s="19">
        <f t="shared" si="132"/>
        <v>0</v>
      </c>
    </row>
    <row r="157" spans="1:26" s="24" customFormat="1" hidden="1" outlineLevel="1" x14ac:dyDescent="0.25">
      <c r="A157" s="44"/>
      <c r="B157" s="11" t="str">
        <f>CONCATENATE("          ", "9163", " - ", "MISC. INCOME")</f>
        <v xml:space="preserve">          9163 - MISC. INCOME</v>
      </c>
      <c r="C157" s="11"/>
      <c r="D157" s="2">
        <f>--9736.96</f>
        <v>9736.9599999999991</v>
      </c>
      <c r="E157" s="2"/>
      <c r="F157" s="19">
        <f t="shared" si="125"/>
        <v>1.4372669090600127E-2</v>
      </c>
      <c r="G157" s="2"/>
      <c r="H157" s="2"/>
      <c r="I157" s="2"/>
      <c r="J157" s="19">
        <f t="shared" si="126"/>
        <v>0</v>
      </c>
      <c r="K157" s="2"/>
      <c r="L157" s="2">
        <f t="shared" si="127"/>
        <v>9736.9599999999991</v>
      </c>
      <c r="M157" s="2"/>
      <c r="N157" s="19">
        <f t="shared" si="128"/>
        <v>0</v>
      </c>
      <c r="O157" s="11"/>
      <c r="P157" s="2">
        <f>--72748.2</f>
        <v>72748.2</v>
      </c>
      <c r="Q157" s="2"/>
      <c r="R157" s="19">
        <f t="shared" si="129"/>
        <v>2.0158842977149545E-2</v>
      </c>
      <c r="S157" s="2"/>
      <c r="T157" s="2"/>
      <c r="U157" s="2"/>
      <c r="V157" s="19">
        <f t="shared" si="130"/>
        <v>0</v>
      </c>
      <c r="W157" s="2"/>
      <c r="X157" s="2">
        <f t="shared" si="131"/>
        <v>72748.2</v>
      </c>
      <c r="Y157" s="2"/>
      <c r="Z157" s="19">
        <f t="shared" si="132"/>
        <v>0</v>
      </c>
    </row>
    <row r="158" spans="1:26" x14ac:dyDescent="0.25">
      <c r="A158" s="9"/>
      <c r="B158" s="10"/>
      <c r="C158" s="10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O158" s="10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x14ac:dyDescent="0.25">
      <c r="A159" s="10"/>
      <c r="B159" s="26" t="s">
        <v>277</v>
      </c>
      <c r="C159" s="26"/>
      <c r="D159" s="21">
        <f>+D56-D58+D150</f>
        <v>-70795.59000000004</v>
      </c>
      <c r="E159" s="13"/>
      <c r="F159" s="20">
        <f>IF(D$12=0,0,D159/D$12)</f>
        <v>-0.10450095185189219</v>
      </c>
      <c r="G159" s="13"/>
      <c r="H159" s="21">
        <f>+H56-H58+H150</f>
        <v>-151648.42766184389</v>
      </c>
      <c r="I159" s="13"/>
      <c r="J159" s="20">
        <f>IF(H$12=0,0,H159/H$12)</f>
        <v>-0.30807009335005353</v>
      </c>
      <c r="K159" s="15"/>
      <c r="L159" s="21">
        <f>+D159-H159</f>
        <v>80852.837661843849</v>
      </c>
      <c r="M159" s="15"/>
      <c r="N159" s="20">
        <f>IF(H159=0,0,L159/H159)</f>
        <v>-0.5331597492203155</v>
      </c>
      <c r="O159" s="25"/>
      <c r="P159" s="21">
        <f>+P56-P58+P150</f>
        <v>191231.03000000049</v>
      </c>
      <c r="Q159" s="13"/>
      <c r="R159" s="20">
        <f>IF(P$12=0,0,P159/P$12)</f>
        <v>5.2990951063099624E-2</v>
      </c>
      <c r="S159" s="13"/>
      <c r="T159" s="21">
        <f>+T56-T58+T150</f>
        <v>414645.83818216948</v>
      </c>
      <c r="U159" s="13"/>
      <c r="V159" s="20">
        <f>IF(T$12=0,0,T159/T$12)</f>
        <v>7.8583768158816708E-2</v>
      </c>
      <c r="W159" s="15"/>
      <c r="X159" s="21">
        <f>+P159-T159</f>
        <v>-223414.80818216898</v>
      </c>
      <c r="Y159" s="15"/>
      <c r="Z159" s="20">
        <f>IF(T159=0,0,X159/T159)</f>
        <v>-0.53880875583276555</v>
      </c>
    </row>
    <row r="160" spans="1:26" x14ac:dyDescent="0.25">
      <c r="A160" s="9"/>
      <c r="B160" s="10"/>
      <c r="C160" s="9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s="23" customFormat="1" x14ac:dyDescent="0.25">
      <c r="A161" s="52"/>
      <c r="B161" s="10" t="s">
        <v>128</v>
      </c>
      <c r="C161" s="10"/>
      <c r="D161" s="4">
        <v>54319.89</v>
      </c>
      <c r="E161" s="4"/>
      <c r="F161" s="12">
        <f>IF(D$12=0,0,D161/D$12)</f>
        <v>8.0181268487063626E-2</v>
      </c>
      <c r="G161" s="4"/>
      <c r="H161" s="4">
        <v>87253</v>
      </c>
      <c r="I161" s="4"/>
      <c r="J161" s="12">
        <f>IF(H$12=0,0,H161/H$12)</f>
        <v>0.17725234787802208</v>
      </c>
      <c r="K161" s="4"/>
      <c r="L161" s="4">
        <f>+D161-H161</f>
        <v>-32933.11</v>
      </c>
      <c r="M161" s="4"/>
      <c r="N161" s="12">
        <f>IF(H161=0,0,L161/H161)</f>
        <v>-0.37744387012480946</v>
      </c>
      <c r="O161" s="10"/>
      <c r="P161" s="4">
        <v>417141.55</v>
      </c>
      <c r="Q161" s="4"/>
      <c r="R161" s="12">
        <f>IF(P$12=0,0,P161/P$12)</f>
        <v>0.11559173980517423</v>
      </c>
      <c r="S161" s="4"/>
      <c r="T161" s="4">
        <v>606748</v>
      </c>
      <c r="U161" s="4"/>
      <c r="V161" s="12">
        <f>IF(T$12=0,0,T161/T$12)</f>
        <v>0.11499101105623027</v>
      </c>
      <c r="W161" s="4"/>
      <c r="X161" s="4">
        <f>+P161-T161</f>
        <v>-189606.45</v>
      </c>
      <c r="Y161" s="4"/>
      <c r="Z161" s="12">
        <f>IF(T161=0,0,X161/T161)</f>
        <v>-0.31249620929941263</v>
      </c>
    </row>
    <row r="162" spans="1:26" x14ac:dyDescent="0.25">
      <c r="A162" s="9"/>
      <c r="B162" s="10"/>
      <c r="C162" s="10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O162" s="10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s="23" customFormat="1" ht="15.75" thickBot="1" x14ac:dyDescent="0.3">
      <c r="A163" s="10"/>
      <c r="B163" s="26" t="s">
        <v>126</v>
      </c>
      <c r="C163" s="26"/>
      <c r="D163" s="31">
        <f>+D159-D161</f>
        <v>-125115.48000000004</v>
      </c>
      <c r="E163" s="13"/>
      <c r="F163" s="33">
        <f>IF(D$12=0,0,D163/D$12)</f>
        <v>-0.18468222033895582</v>
      </c>
      <c r="G163" s="13"/>
      <c r="H163" s="31">
        <f>+H159-H161</f>
        <v>-238901.42766184389</v>
      </c>
      <c r="I163" s="13"/>
      <c r="J163" s="33">
        <f>IF(H$12=0,0,H163/H$12)</f>
        <v>-0.48532244122807561</v>
      </c>
      <c r="K163" s="15"/>
      <c r="L163" s="31">
        <f>D163-H163</f>
        <v>113785.94766184385</v>
      </c>
      <c r="M163" s="15"/>
      <c r="N163" s="33">
        <f>IF(H163=0,0,L163/H163)</f>
        <v>-0.47628826991734702</v>
      </c>
      <c r="O163" s="25"/>
      <c r="P163" s="31">
        <f>+P159-P161</f>
        <v>-225910.51999999949</v>
      </c>
      <c r="Q163" s="13"/>
      <c r="R163" s="33">
        <f>IF(P$12=0,0,P163/P$12)</f>
        <v>-6.2600788742074615E-2</v>
      </c>
      <c r="S163" s="13"/>
      <c r="T163" s="31">
        <f>+T159-T161</f>
        <v>-192102.16181783052</v>
      </c>
      <c r="U163" s="13"/>
      <c r="V163" s="33">
        <f>IF(T$12=0,0,T163/T$12)</f>
        <v>-3.6407242897413566E-2</v>
      </c>
      <c r="W163" s="15"/>
      <c r="X163" s="31">
        <f>P163-T163</f>
        <v>-33808.358182168973</v>
      </c>
      <c r="Y163" s="15"/>
      <c r="Z163" s="33">
        <f>IF(T163=0,0,X163/T163)</f>
        <v>0.17599155502596198</v>
      </c>
    </row>
    <row r="164" spans="1:26" ht="15.75" thickTop="1" x14ac:dyDescent="0.25">
      <c r="A164" s="9"/>
      <c r="B164" s="9"/>
      <c r="C164" s="9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x14ac:dyDescent="0.25">
      <c r="A165" s="9"/>
      <c r="B165" s="9"/>
      <c r="C165" s="9"/>
      <c r="D165" s="3"/>
      <c r="E165" s="3"/>
      <c r="F165" s="8"/>
      <c r="G165" s="3"/>
      <c r="H165" s="3"/>
      <c r="I165" s="3"/>
      <c r="J165" s="8"/>
      <c r="K165" s="3"/>
      <c r="L165" s="3"/>
      <c r="M165" s="3"/>
      <c r="N165" s="8"/>
      <c r="P165" s="3"/>
      <c r="Q165" s="3"/>
      <c r="R165" s="8"/>
      <c r="S165" s="3"/>
      <c r="T165" s="3"/>
      <c r="U165" s="3"/>
      <c r="V165" s="8"/>
      <c r="W165" s="3"/>
      <c r="X165" s="3"/>
      <c r="Y165" s="3"/>
      <c r="Z165" s="8"/>
    </row>
    <row r="166" spans="1:26" s="23" customFormat="1" ht="15.75" thickBot="1" x14ac:dyDescent="0.3">
      <c r="A166" s="10"/>
      <c r="B166" s="26" t="s">
        <v>294</v>
      </c>
      <c r="C166" s="26"/>
      <c r="D166" s="35">
        <f>SUM(D163:D165)</f>
        <v>-125115.48000000004</v>
      </c>
      <c r="E166" s="13"/>
      <c r="F166" s="32">
        <f>IF(D$12=0,0,D166/D$12)</f>
        <v>-0.18468222033895582</v>
      </c>
      <c r="G166" s="13"/>
      <c r="H166" s="35">
        <f>SUM(H163:H165)</f>
        <v>-238901.42766184389</v>
      </c>
      <c r="I166" s="13"/>
      <c r="J166" s="32">
        <f>IF(H$12=0,0,H166/H$12)</f>
        <v>-0.48532244122807561</v>
      </c>
      <c r="K166" s="15"/>
      <c r="L166" s="35">
        <f>+D166-H166</f>
        <v>113785.94766184385</v>
      </c>
      <c r="M166" s="15"/>
      <c r="N166" s="32">
        <f>IF(H166=0,0,L166/H166)</f>
        <v>-0.47628826991734702</v>
      </c>
      <c r="O166" s="25"/>
      <c r="P166" s="35">
        <f>SUM(P163:P165)</f>
        <v>-225910.51999999949</v>
      </c>
      <c r="Q166" s="13"/>
      <c r="R166" s="32">
        <f>IF(P$12=0,0,P166/P$12)</f>
        <v>-6.2600788742074615E-2</v>
      </c>
      <c r="S166" s="13"/>
      <c r="T166" s="35">
        <f>SUM(T163:T165)</f>
        <v>-192102.16181783052</v>
      </c>
      <c r="U166" s="13"/>
      <c r="V166" s="32">
        <f>IF(T$12=0,0,T166/T$12)</f>
        <v>-3.6407242897413566E-2</v>
      </c>
      <c r="W166" s="15"/>
      <c r="X166" s="35">
        <f>+P166-T166</f>
        <v>-33808.358182168973</v>
      </c>
      <c r="Y166" s="15"/>
      <c r="Z166" s="32">
        <f>IF(T166=0,0,X166/T166)</f>
        <v>0.17599155502596198</v>
      </c>
    </row>
    <row r="167" spans="1:26" ht="15.75" thickTop="1" x14ac:dyDescent="0.25">
      <c r="A167" s="9"/>
      <c r="C167" s="9"/>
      <c r="D167" s="18"/>
      <c r="E167" s="18"/>
      <c r="G167" s="18"/>
      <c r="H167" s="18"/>
      <c r="I167" s="18"/>
      <c r="J167" s="42"/>
      <c r="K167" s="18"/>
      <c r="L167" s="18"/>
      <c r="M167" s="18"/>
      <c r="P167" s="18"/>
      <c r="Q167" s="18"/>
      <c r="R167" s="42"/>
      <c r="S167" s="18"/>
      <c r="T167" s="18"/>
      <c r="U167" s="18"/>
      <c r="V167" s="42"/>
      <c r="W167" s="18"/>
      <c r="X167" s="18"/>
    </row>
    <row r="168" spans="1:26" x14ac:dyDescent="0.25">
      <c r="A168" s="9"/>
      <c r="B168" s="59">
        <v>44517.962868206021</v>
      </c>
      <c r="D168" s="18"/>
      <c r="E168" s="18"/>
      <c r="G168" s="18"/>
      <c r="H168" s="18"/>
      <c r="I168" s="18"/>
      <c r="J168" s="42"/>
      <c r="K168" s="18"/>
      <c r="L168" s="18"/>
      <c r="M168" s="18"/>
      <c r="P168" s="18"/>
      <c r="Q168" s="18"/>
      <c r="R168" s="42"/>
      <c r="S168" s="18"/>
      <c r="T168" s="18"/>
      <c r="U168" s="18"/>
      <c r="V168" s="42"/>
      <c r="W168" s="18"/>
      <c r="X168" s="18"/>
    </row>
    <row r="169" spans="1:26" x14ac:dyDescent="0.25">
      <c r="A169" s="9"/>
      <c r="B169" s="62" t="s">
        <v>56</v>
      </c>
      <c r="D169" s="18"/>
      <c r="E169" s="18"/>
      <c r="G169" s="18"/>
      <c r="H169" s="18"/>
      <c r="I169" s="18"/>
      <c r="J169" s="42"/>
      <c r="K169" s="18"/>
      <c r="L169" s="18"/>
      <c r="M169" s="18"/>
      <c r="P169" s="18"/>
      <c r="Q169" s="18"/>
      <c r="R169" s="42"/>
      <c r="S169" s="18"/>
      <c r="T169" s="18"/>
      <c r="U169" s="18"/>
      <c r="V169" s="42"/>
      <c r="W169" s="18"/>
      <c r="X169" s="18"/>
    </row>
    <row r="170" spans="1:26" x14ac:dyDescent="0.25">
      <c r="A170" s="9"/>
      <c r="B170" s="57"/>
      <c r="D170" s="18"/>
      <c r="E170" s="18"/>
      <c r="G170" s="18"/>
      <c r="H170" s="18"/>
      <c r="I170" s="18"/>
      <c r="J170" s="42"/>
      <c r="K170" s="18"/>
      <c r="L170" s="18"/>
      <c r="M170" s="18"/>
      <c r="P170" s="18"/>
      <c r="Q170" s="18"/>
      <c r="R170" s="42"/>
      <c r="S170" s="18"/>
      <c r="T170" s="18"/>
      <c r="U170" s="18"/>
      <c r="V170" s="42"/>
      <c r="W170" s="18"/>
      <c r="X170" s="18"/>
    </row>
    <row r="171" spans="1:26" x14ac:dyDescent="0.25">
      <c r="D171" s="18"/>
      <c r="E171" s="18"/>
      <c r="G171" s="18"/>
      <c r="H171" s="18"/>
      <c r="I171" s="18"/>
      <c r="J171" s="42"/>
      <c r="K171" s="18"/>
      <c r="L171" s="18"/>
      <c r="M171" s="18"/>
      <c r="P171" s="18"/>
      <c r="Q171" s="18"/>
      <c r="R171" s="42"/>
      <c r="S171" s="18"/>
      <c r="T171" s="18"/>
      <c r="U171" s="18"/>
      <c r="V171" s="42"/>
      <c r="W171" s="18"/>
      <c r="X171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","301", " - ", "Bookstore Operations")</f>
        <v>Department 301 - Bookstore Operations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5" t="s">
        <v>257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0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"5000", " - ", "PURCHASES @ COST")</f>
        <v xml:space="preserve">          5000 - PURCHASES @ COST</v>
      </c>
      <c r="C15" s="11"/>
      <c r="D15" s="2">
        <v>0</v>
      </c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0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0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108</v>
      </c>
      <c r="C17" s="26"/>
      <c r="D17" s="21">
        <f>D12-D14</f>
        <v>0</v>
      </c>
      <c r="E17" s="13"/>
      <c r="F17" s="20">
        <f>IF(D$12=0,0,D17/D$12)</f>
        <v>0</v>
      </c>
      <c r="G17" s="13"/>
      <c r="H17" s="21">
        <f>H12-H14</f>
        <v>0</v>
      </c>
      <c r="I17" s="13"/>
      <c r="J17" s="20">
        <f>IF(H$12=0,0,H17/H$12)</f>
        <v>0</v>
      </c>
      <c r="K17" s="15"/>
      <c r="L17" s="21">
        <f>+D17-H17</f>
        <v>0</v>
      </c>
      <c r="M17" s="15"/>
      <c r="N17" s="20">
        <f>IF(H17=0,0,L17/H17)</f>
        <v>0</v>
      </c>
      <c r="O17" s="25"/>
      <c r="P17" s="21">
        <f>P12-P14</f>
        <v>0</v>
      </c>
      <c r="Q17" s="13"/>
      <c r="R17" s="20">
        <f>IF(P$12=0,0,P17/P$12)</f>
        <v>0</v>
      </c>
      <c r="S17" s="13"/>
      <c r="T17" s="21">
        <f>T12-T14</f>
        <v>0</v>
      </c>
      <c r="U17" s="13"/>
      <c r="V17" s="20">
        <f>IF(T$12=0,0,T17/T$12)</f>
        <v>0</v>
      </c>
      <c r="W17" s="15"/>
      <c r="X17" s="21">
        <f>+P17-T17</f>
        <v>0</v>
      </c>
      <c r="Y17" s="15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295</v>
      </c>
      <c r="C19" s="10"/>
      <c r="D19" s="22">
        <f>SUM(OSRRefD22x_0)</f>
        <v>146275.69999999998</v>
      </c>
      <c r="E19" s="22"/>
      <c r="F19" s="34">
        <f t="shared" ref="F19:F30" si="8">IF(D$12=0,0,D19/D$12)</f>
        <v>0</v>
      </c>
      <c r="G19" s="22"/>
      <c r="H19" s="22">
        <f>SUM(OSRRefH22x_0)</f>
        <v>108591.73018538463</v>
      </c>
      <c r="I19" s="22"/>
      <c r="J19" s="34">
        <f t="shared" ref="J19:J30" si="9">IF(H$12=0,0,H19/H$12)</f>
        <v>0</v>
      </c>
      <c r="K19" s="4"/>
      <c r="L19" s="22">
        <f t="shared" ref="L19:L30" si="10">+D19-H19</f>
        <v>37683.969814615353</v>
      </c>
      <c r="M19" s="4"/>
      <c r="N19" s="34">
        <f t="shared" ref="N19:N30" si="11">IF(H19=0,0,L19/H19)</f>
        <v>0.34702430608926094</v>
      </c>
      <c r="O19" s="10"/>
      <c r="P19" s="22">
        <f>SUM(OSRRefP22x_0)</f>
        <v>620659.91999999993</v>
      </c>
      <c r="Q19" s="22"/>
      <c r="R19" s="34">
        <f t="shared" ref="R19:R30" si="12">IF(P$12=0,0,P19/P$12)</f>
        <v>0</v>
      </c>
      <c r="S19" s="22"/>
      <c r="T19" s="22">
        <f>SUM(OSRRefT22x_0)</f>
        <v>591759.66168238455</v>
      </c>
      <c r="U19" s="22"/>
      <c r="V19" s="34">
        <f t="shared" ref="V19:V30" si="13">IF(T$12=0,0,T19/T$12)</f>
        <v>0</v>
      </c>
      <c r="W19" s="4"/>
      <c r="X19" s="22">
        <f t="shared" ref="X19:X30" si="14">+P19-T19</f>
        <v>28900.258317615371</v>
      </c>
      <c r="Y19" s="4"/>
      <c r="Z19" s="34">
        <f t="shared" ref="Z19:Z30" si="15">IF(T19=0,0,X19/T19)</f>
        <v>4.8837830945508115E-2</v>
      </c>
    </row>
    <row r="20" spans="1:26" s="28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17082.93</v>
      </c>
      <c r="E20" s="1"/>
      <c r="F20" s="5">
        <f t="shared" si="8"/>
        <v>0</v>
      </c>
      <c r="G20" s="1"/>
      <c r="H20" s="1">
        <f>SUM(OSRRefH22_0x_0)</f>
        <v>5129.6180700000068</v>
      </c>
      <c r="I20" s="1"/>
      <c r="J20" s="5">
        <f t="shared" si="9"/>
        <v>0</v>
      </c>
      <c r="K20" s="1"/>
      <c r="L20" s="1">
        <f t="shared" si="10"/>
        <v>11953.311929999993</v>
      </c>
      <c r="M20" s="1"/>
      <c r="N20" s="5">
        <f t="shared" si="11"/>
        <v>2.3302537863213617</v>
      </c>
      <c r="O20" s="14"/>
      <c r="P20" s="1">
        <f>SUM(OSRRefP22_0x_0)</f>
        <v>57967.14</v>
      </c>
      <c r="Q20" s="1"/>
      <c r="R20" s="5">
        <f t="shared" si="12"/>
        <v>0</v>
      </c>
      <c r="S20" s="1"/>
      <c r="T20" s="1">
        <f>SUM(OSRRefT22_0x_0)</f>
        <v>27151.795567000012</v>
      </c>
      <c r="U20" s="1"/>
      <c r="V20" s="5">
        <f t="shared" si="13"/>
        <v>0</v>
      </c>
      <c r="W20" s="1"/>
      <c r="X20" s="1">
        <f t="shared" si="14"/>
        <v>30815.344432999987</v>
      </c>
      <c r="Y20" s="1"/>
      <c r="Z20" s="5">
        <f t="shared" si="15"/>
        <v>1.1349284196310248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7">
        <v>3010.31</v>
      </c>
      <c r="E21" s="2"/>
      <c r="F21" s="6">
        <f t="shared" si="8"/>
        <v>0</v>
      </c>
      <c r="G21" s="2"/>
      <c r="H21" s="7">
        <v>1221.12151038462</v>
      </c>
      <c r="I21" s="2"/>
      <c r="J21" s="6">
        <f t="shared" si="9"/>
        <v>0</v>
      </c>
      <c r="K21" s="2"/>
      <c r="L21" s="7">
        <f t="shared" si="10"/>
        <v>1789.1884896153799</v>
      </c>
      <c r="M21" s="2"/>
      <c r="N21" s="6">
        <f t="shared" si="11"/>
        <v>1.465201025778208</v>
      </c>
      <c r="O21" s="11"/>
      <c r="P21" s="7">
        <v>12490.38</v>
      </c>
      <c r="Q21" s="2"/>
      <c r="R21" s="6">
        <f t="shared" si="12"/>
        <v>0</v>
      </c>
      <c r="S21" s="2"/>
      <c r="T21" s="7">
        <v>8958.2203273846208</v>
      </c>
      <c r="U21" s="2"/>
      <c r="V21" s="6">
        <f t="shared" si="13"/>
        <v>0</v>
      </c>
      <c r="W21" s="2"/>
      <c r="X21" s="7">
        <f t="shared" si="14"/>
        <v>3532.1596726153784</v>
      </c>
      <c r="Y21" s="2"/>
      <c r="Z21" s="6">
        <f t="shared" si="15"/>
        <v>0.39429256521162198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991.91</v>
      </c>
      <c r="E22" s="2"/>
      <c r="F22" s="6">
        <f t="shared" si="8"/>
        <v>0</v>
      </c>
      <c r="G22" s="2"/>
      <c r="H22" s="7">
        <v>580.90290000000005</v>
      </c>
      <c r="I22" s="2"/>
      <c r="J22" s="6">
        <f t="shared" si="9"/>
        <v>0</v>
      </c>
      <c r="K22" s="2"/>
      <c r="L22" s="7">
        <f t="shared" si="10"/>
        <v>411.00709999999992</v>
      </c>
      <c r="M22" s="2"/>
      <c r="N22" s="6">
        <f t="shared" si="11"/>
        <v>0.70753149967059881</v>
      </c>
      <c r="O22" s="11"/>
      <c r="P22" s="7">
        <v>3300.27</v>
      </c>
      <c r="Q22" s="2"/>
      <c r="R22" s="6">
        <f t="shared" si="12"/>
        <v>0</v>
      </c>
      <c r="S22" s="2"/>
      <c r="T22" s="7">
        <v>3349.2539400000001</v>
      </c>
      <c r="U22" s="2"/>
      <c r="V22" s="6">
        <f t="shared" si="13"/>
        <v>0</v>
      </c>
      <c r="W22" s="2"/>
      <c r="X22" s="7">
        <f t="shared" si="14"/>
        <v>-48.983940000000075</v>
      </c>
      <c r="Y22" s="2"/>
      <c r="Z22" s="6">
        <f t="shared" si="15"/>
        <v>-1.4625328767994246E-2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7">
        <v>5751.68</v>
      </c>
      <c r="E23" s="2"/>
      <c r="F23" s="6">
        <f t="shared" si="8"/>
        <v>0</v>
      </c>
      <c r="G23" s="2"/>
      <c r="H23" s="7">
        <v>1456</v>
      </c>
      <c r="I23" s="2"/>
      <c r="J23" s="6">
        <f t="shared" si="9"/>
        <v>0</v>
      </c>
      <c r="K23" s="2"/>
      <c r="L23" s="7">
        <f t="shared" si="10"/>
        <v>4295.68</v>
      </c>
      <c r="M23" s="2"/>
      <c r="N23" s="6">
        <f t="shared" si="11"/>
        <v>2.9503296703296704</v>
      </c>
      <c r="O23" s="11"/>
      <c r="P23" s="7">
        <v>20896.48</v>
      </c>
      <c r="Q23" s="2"/>
      <c r="R23" s="6">
        <f t="shared" si="12"/>
        <v>0</v>
      </c>
      <c r="S23" s="2"/>
      <c r="T23" s="7">
        <v>5518</v>
      </c>
      <c r="U23" s="2"/>
      <c r="V23" s="6">
        <f t="shared" si="13"/>
        <v>0</v>
      </c>
      <c r="W23" s="2"/>
      <c r="X23" s="7">
        <f t="shared" si="14"/>
        <v>15378.48</v>
      </c>
      <c r="Y23" s="2"/>
      <c r="Z23" s="6">
        <f t="shared" si="15"/>
        <v>2.7869662921348315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176.48</v>
      </c>
      <c r="E24" s="2"/>
      <c r="F24" s="6">
        <f t="shared" si="8"/>
        <v>0</v>
      </c>
      <c r="G24" s="2"/>
      <c r="H24" s="7">
        <v>78.198467307692297</v>
      </c>
      <c r="I24" s="2"/>
      <c r="J24" s="6">
        <f t="shared" si="9"/>
        <v>0</v>
      </c>
      <c r="K24" s="2"/>
      <c r="L24" s="7">
        <f t="shared" si="10"/>
        <v>98.281532692307692</v>
      </c>
      <c r="M24" s="2"/>
      <c r="N24" s="6">
        <f t="shared" si="11"/>
        <v>1.2568217265127886</v>
      </c>
      <c r="O24" s="11"/>
      <c r="P24" s="7">
        <v>590.11</v>
      </c>
      <c r="Q24" s="2"/>
      <c r="R24" s="6">
        <f t="shared" si="12"/>
        <v>0</v>
      </c>
      <c r="S24" s="2"/>
      <c r="T24" s="7">
        <v>450.86110730769201</v>
      </c>
      <c r="U24" s="2"/>
      <c r="V24" s="6">
        <f t="shared" si="13"/>
        <v>0</v>
      </c>
      <c r="W24" s="2"/>
      <c r="X24" s="7">
        <f t="shared" si="14"/>
        <v>139.248892692308</v>
      </c>
      <c r="Y24" s="2"/>
      <c r="Z24" s="6">
        <f t="shared" si="15"/>
        <v>0.30885097524563598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7">
        <v>2278.2800000000002</v>
      </c>
      <c r="E25" s="2"/>
      <c r="F25" s="6">
        <f t="shared" si="8"/>
        <v>0</v>
      </c>
      <c r="G25" s="2"/>
      <c r="H25" s="7">
        <v>468.45192307692298</v>
      </c>
      <c r="I25" s="2"/>
      <c r="J25" s="6">
        <f t="shared" si="9"/>
        <v>0</v>
      </c>
      <c r="K25" s="2"/>
      <c r="L25" s="7">
        <f t="shared" si="10"/>
        <v>1809.8280769230773</v>
      </c>
      <c r="M25" s="2"/>
      <c r="N25" s="6">
        <f t="shared" si="11"/>
        <v>3.8634233050760498</v>
      </c>
      <c r="O25" s="11"/>
      <c r="P25" s="7">
        <v>6834.86</v>
      </c>
      <c r="Q25" s="2"/>
      <c r="R25" s="6">
        <f t="shared" si="12"/>
        <v>0</v>
      </c>
      <c r="S25" s="2"/>
      <c r="T25" s="7">
        <v>1686.42692307692</v>
      </c>
      <c r="U25" s="2"/>
      <c r="V25" s="6">
        <f t="shared" si="13"/>
        <v>0</v>
      </c>
      <c r="W25" s="2"/>
      <c r="X25" s="7">
        <f t="shared" si="14"/>
        <v>5148.4330769230801</v>
      </c>
      <c r="Y25" s="2"/>
      <c r="Z25" s="6">
        <f t="shared" si="15"/>
        <v>3.0528646136232571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8"/>
        <v>0</v>
      </c>
      <c r="G26" s="2"/>
      <c r="H26" s="7">
        <v>0</v>
      </c>
      <c r="I26" s="2"/>
      <c r="J26" s="6">
        <f t="shared" si="9"/>
        <v>0</v>
      </c>
      <c r="K26" s="2"/>
      <c r="L26" s="7">
        <f t="shared" si="10"/>
        <v>0</v>
      </c>
      <c r="M26" s="2"/>
      <c r="N26" s="6">
        <f t="shared" si="11"/>
        <v>0</v>
      </c>
      <c r="O26" s="11"/>
      <c r="P26" s="7"/>
      <c r="Q26" s="2"/>
      <c r="R26" s="6">
        <f t="shared" si="12"/>
        <v>0</v>
      </c>
      <c r="S26" s="2"/>
      <c r="T26" s="7">
        <v>0</v>
      </c>
      <c r="U26" s="2"/>
      <c r="V26" s="6">
        <f t="shared" si="13"/>
        <v>0</v>
      </c>
      <c r="W26" s="2"/>
      <c r="X26" s="7">
        <f t="shared" si="14"/>
        <v>0</v>
      </c>
      <c r="Y26" s="2"/>
      <c r="Z26" s="6">
        <f t="shared" si="15"/>
        <v>0</v>
      </c>
    </row>
    <row r="27" spans="1:26" s="24" customFormat="1" hidden="1" outlineLevel="2" x14ac:dyDescent="0.25">
      <c r="A27" s="27"/>
      <c r="B27" s="11" t="str">
        <f>CONCATENATE("          ", "6117", " - ", "RETIREMENT STAFF HOURLY")</f>
        <v xml:space="preserve">          6117 - RETIREMENT STAFF HOURLY</v>
      </c>
      <c r="C27" s="11"/>
      <c r="D27" s="7">
        <v>304.70999999999998</v>
      </c>
      <c r="E27" s="2"/>
      <c r="F27" s="6">
        <f t="shared" si="8"/>
        <v>0</v>
      </c>
      <c r="G27" s="2"/>
      <c r="H27" s="7"/>
      <c r="I27" s="2"/>
      <c r="J27" s="6">
        <f t="shared" si="9"/>
        <v>0</v>
      </c>
      <c r="K27" s="2"/>
      <c r="L27" s="7">
        <f t="shared" si="10"/>
        <v>304.70999999999998</v>
      </c>
      <c r="M27" s="2"/>
      <c r="N27" s="6">
        <f t="shared" si="11"/>
        <v>0</v>
      </c>
      <c r="O27" s="11"/>
      <c r="P27" s="7">
        <v>1267.47</v>
      </c>
      <c r="Q27" s="2"/>
      <c r="R27" s="6">
        <f t="shared" si="12"/>
        <v>0</v>
      </c>
      <c r="S27" s="2"/>
      <c r="T27" s="7"/>
      <c r="U27" s="2"/>
      <c r="V27" s="6">
        <f t="shared" si="13"/>
        <v>0</v>
      </c>
      <c r="W27" s="2"/>
      <c r="X27" s="7">
        <f t="shared" si="14"/>
        <v>1267.47</v>
      </c>
      <c r="Y27" s="2"/>
      <c r="Z27" s="6">
        <f t="shared" si="15"/>
        <v>0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7">
        <v>1928.32</v>
      </c>
      <c r="E28" s="2"/>
      <c r="F28" s="6">
        <f t="shared" si="8"/>
        <v>0</v>
      </c>
      <c r="G28" s="2"/>
      <c r="H28" s="7">
        <v>311.733461538462</v>
      </c>
      <c r="I28" s="2"/>
      <c r="J28" s="6">
        <f t="shared" si="9"/>
        <v>0</v>
      </c>
      <c r="K28" s="2"/>
      <c r="L28" s="7">
        <f t="shared" si="10"/>
        <v>1616.5865384615379</v>
      </c>
      <c r="M28" s="2"/>
      <c r="N28" s="6">
        <f t="shared" si="11"/>
        <v>5.185797284909313</v>
      </c>
      <c r="O28" s="11"/>
      <c r="P28" s="7">
        <v>5611.75</v>
      </c>
      <c r="Q28" s="2"/>
      <c r="R28" s="6">
        <f t="shared" si="12"/>
        <v>0</v>
      </c>
      <c r="S28" s="2"/>
      <c r="T28" s="7">
        <v>1122.2404615384601</v>
      </c>
      <c r="U28" s="2"/>
      <c r="V28" s="6">
        <f t="shared" si="13"/>
        <v>0</v>
      </c>
      <c r="W28" s="2"/>
      <c r="X28" s="7">
        <f t="shared" si="14"/>
        <v>4489.5095384615397</v>
      </c>
      <c r="Y28" s="2"/>
      <c r="Z28" s="6">
        <f t="shared" si="15"/>
        <v>4.000488034718467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7">
        <v>1619.13</v>
      </c>
      <c r="E29" s="2"/>
      <c r="F29" s="6">
        <f t="shared" si="8"/>
        <v>0</v>
      </c>
      <c r="G29" s="2"/>
      <c r="H29" s="7">
        <v>1013.2098076923101</v>
      </c>
      <c r="I29" s="2"/>
      <c r="J29" s="6">
        <f t="shared" si="9"/>
        <v>0</v>
      </c>
      <c r="K29" s="2"/>
      <c r="L29" s="7">
        <f t="shared" si="10"/>
        <v>605.92019230769006</v>
      </c>
      <c r="M29" s="2"/>
      <c r="N29" s="6">
        <f t="shared" si="11"/>
        <v>0.59802045707367935</v>
      </c>
      <c r="O29" s="11"/>
      <c r="P29" s="7">
        <v>4669.22</v>
      </c>
      <c r="Q29" s="2"/>
      <c r="R29" s="6">
        <f t="shared" si="12"/>
        <v>0</v>
      </c>
      <c r="S29" s="2"/>
      <c r="T29" s="7">
        <v>6066.7928076923199</v>
      </c>
      <c r="U29" s="2"/>
      <c r="V29" s="6">
        <f t="shared" si="13"/>
        <v>0</v>
      </c>
      <c r="W29" s="2"/>
      <c r="X29" s="7">
        <f t="shared" si="14"/>
        <v>-1397.5728076923197</v>
      </c>
      <c r="Y29" s="2"/>
      <c r="Z29" s="6">
        <f t="shared" si="15"/>
        <v>-0.23036435427962587</v>
      </c>
    </row>
    <row r="30" spans="1:26" s="24" customFormat="1" hidden="1" outlineLevel="2" x14ac:dyDescent="0.25">
      <c r="A30" s="27"/>
      <c r="B30" s="11" t="str">
        <f>CONCATENATE("          ", "6156", " - ", "EMPLOYEE MEALS")</f>
        <v xml:space="preserve">          6156 - EMPLOYEE MEALS</v>
      </c>
      <c r="C30" s="11"/>
      <c r="D30" s="7">
        <v>1022.11</v>
      </c>
      <c r="E30" s="2"/>
      <c r="F30" s="6">
        <f t="shared" si="8"/>
        <v>0</v>
      </c>
      <c r="G30" s="2"/>
      <c r="H30" s="7"/>
      <c r="I30" s="2"/>
      <c r="J30" s="6">
        <f t="shared" si="9"/>
        <v>0</v>
      </c>
      <c r="K30" s="2"/>
      <c r="L30" s="7">
        <f t="shared" si="10"/>
        <v>1022.11</v>
      </c>
      <c r="M30" s="2"/>
      <c r="N30" s="6">
        <f t="shared" si="11"/>
        <v>0</v>
      </c>
      <c r="O30" s="11"/>
      <c r="P30" s="7">
        <v>2306.6</v>
      </c>
      <c r="Q30" s="2"/>
      <c r="R30" s="6">
        <f t="shared" si="12"/>
        <v>0</v>
      </c>
      <c r="S30" s="2"/>
      <c r="T30" s="7"/>
      <c r="U30" s="2"/>
      <c r="V30" s="6">
        <f t="shared" si="13"/>
        <v>0</v>
      </c>
      <c r="W30" s="2"/>
      <c r="X30" s="7">
        <f t="shared" si="14"/>
        <v>2306.6</v>
      </c>
      <c r="Y30" s="2"/>
      <c r="Z30" s="6">
        <f t="shared" si="15"/>
        <v>0</v>
      </c>
    </row>
    <row r="31" spans="1:26" s="28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52591.170000000006</v>
      </c>
      <c r="E31" s="1"/>
      <c r="F31" s="5">
        <f t="shared" ref="F31:F41" si="16">IF(D$12=0,0,D31/D$12)</f>
        <v>0</v>
      </c>
      <c r="G31" s="1"/>
      <c r="H31" s="1">
        <f>SUM(OSRRefH22_1x_0)</f>
        <v>36813.112115384618</v>
      </c>
      <c r="I31" s="1"/>
      <c r="J31" s="5">
        <f t="shared" ref="J31:J41" si="17">IF(H$12=0,0,H31/H$12)</f>
        <v>0</v>
      </c>
      <c r="K31" s="1"/>
      <c r="L31" s="1">
        <f t="shared" ref="L31:L41" si="18">+D31-H31</f>
        <v>15778.057884615388</v>
      </c>
      <c r="M31" s="1"/>
      <c r="N31" s="5">
        <f t="shared" ref="N31:N41" si="19">IF(H31=0,0,L31/H31)</f>
        <v>0.42859885997037339</v>
      </c>
      <c r="O31" s="14"/>
      <c r="P31" s="1">
        <f>SUM(OSRRefP22_1x_0)</f>
        <v>224723.77000000002</v>
      </c>
      <c r="Q31" s="1"/>
      <c r="R31" s="5">
        <f t="shared" ref="R31:R41" si="20">IF(P$12=0,0,P31/P$12)</f>
        <v>0</v>
      </c>
      <c r="S31" s="1"/>
      <c r="T31" s="1">
        <f>SUM(OSRRefT22_1x_0)</f>
        <v>213974.86611538459</v>
      </c>
      <c r="U31" s="1"/>
      <c r="V31" s="5">
        <f t="shared" ref="V31:V41" si="21">IF(T$12=0,0,T31/T$12)</f>
        <v>0</v>
      </c>
      <c r="W31" s="1"/>
      <c r="X31" s="1">
        <f t="shared" ref="X31:X41" si="22">+P31-T31</f>
        <v>10748.903884615429</v>
      </c>
      <c r="Y31" s="1"/>
      <c r="Z31" s="5">
        <f t="shared" ref="Z31:Z41" si="23">IF(T31=0,0,X31/T31)</f>
        <v>5.023442276075149E-2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7">
        <v>4926.78</v>
      </c>
      <c r="E32" s="2"/>
      <c r="F32" s="6">
        <f t="shared" si="16"/>
        <v>0</v>
      </c>
      <c r="G32" s="2"/>
      <c r="H32" s="7">
        <v>5174.7596153846198</v>
      </c>
      <c r="I32" s="2"/>
      <c r="J32" s="6">
        <f t="shared" si="17"/>
        <v>0</v>
      </c>
      <c r="K32" s="2"/>
      <c r="L32" s="7">
        <f t="shared" si="18"/>
        <v>-247.97961538462005</v>
      </c>
      <c r="M32" s="2"/>
      <c r="N32" s="6">
        <f t="shared" si="19"/>
        <v>-4.792099224230123E-2</v>
      </c>
      <c r="O32" s="11"/>
      <c r="P32" s="7">
        <v>19484.080000000002</v>
      </c>
      <c r="Q32" s="2"/>
      <c r="R32" s="6">
        <f t="shared" si="20"/>
        <v>0</v>
      </c>
      <c r="S32" s="2"/>
      <c r="T32" s="7">
        <v>18629.134615384599</v>
      </c>
      <c r="U32" s="2"/>
      <c r="V32" s="6">
        <f t="shared" si="21"/>
        <v>0</v>
      </c>
      <c r="W32" s="2"/>
      <c r="X32" s="7">
        <f t="shared" si="22"/>
        <v>854.94538461540287</v>
      </c>
      <c r="Y32" s="2"/>
      <c r="Z32" s="6">
        <f t="shared" si="23"/>
        <v>4.5892920002272068E-2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>
        <v>10853.65</v>
      </c>
      <c r="E33" s="2"/>
      <c r="F33" s="6">
        <f t="shared" si="16"/>
        <v>0</v>
      </c>
      <c r="G33" s="2"/>
      <c r="H33" s="7">
        <v>0</v>
      </c>
      <c r="I33" s="2"/>
      <c r="J33" s="6">
        <f t="shared" si="17"/>
        <v>0</v>
      </c>
      <c r="K33" s="2"/>
      <c r="L33" s="7">
        <f t="shared" si="18"/>
        <v>10853.65</v>
      </c>
      <c r="M33" s="2"/>
      <c r="N33" s="6">
        <f t="shared" si="19"/>
        <v>0</v>
      </c>
      <c r="O33" s="11"/>
      <c r="P33" s="7">
        <v>43792.41</v>
      </c>
      <c r="Q33" s="2"/>
      <c r="R33" s="6">
        <f t="shared" si="20"/>
        <v>0</v>
      </c>
      <c r="S33" s="2"/>
      <c r="T33" s="7">
        <v>0</v>
      </c>
      <c r="U33" s="2"/>
      <c r="V33" s="6">
        <f t="shared" si="21"/>
        <v>0</v>
      </c>
      <c r="W33" s="2"/>
      <c r="X33" s="7">
        <f t="shared" si="22"/>
        <v>43792.41</v>
      </c>
      <c r="Y33" s="2"/>
      <c r="Z33" s="6">
        <f t="shared" si="23"/>
        <v>0</v>
      </c>
    </row>
    <row r="34" spans="1:26" s="24" customFormat="1" hidden="1" outlineLevel="2" x14ac:dyDescent="0.25">
      <c r="A34" s="27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6"/>
        <v>0</v>
      </c>
      <c r="G34" s="2"/>
      <c r="H34" s="7">
        <v>0</v>
      </c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/>
      <c r="Q34" s="2"/>
      <c r="R34" s="6">
        <f t="shared" si="20"/>
        <v>0</v>
      </c>
      <c r="S34" s="2"/>
      <c r="T34" s="7">
        <v>0</v>
      </c>
      <c r="U34" s="2"/>
      <c r="V34" s="6">
        <f t="shared" si="21"/>
        <v>0</v>
      </c>
      <c r="W34" s="2"/>
      <c r="X34" s="7">
        <f t="shared" si="22"/>
        <v>0</v>
      </c>
      <c r="Y34" s="2"/>
      <c r="Z34" s="6">
        <f t="shared" si="23"/>
        <v>0</v>
      </c>
    </row>
    <row r="35" spans="1:26" s="24" customFormat="1" hidden="1" outlineLevel="2" x14ac:dyDescent="0.25">
      <c r="A35" s="27"/>
      <c r="B35" s="11" t="str">
        <f>CONCATENATE("          ", "6004", " - ", "STAFF HOURLY")</f>
        <v xml:space="preserve">          6004 - STAFF HOURLY</v>
      </c>
      <c r="C35" s="11"/>
      <c r="D35" s="7">
        <v>10880.02</v>
      </c>
      <c r="E35" s="2"/>
      <c r="F35" s="6">
        <f t="shared" si="16"/>
        <v>0</v>
      </c>
      <c r="G35" s="2"/>
      <c r="H35" s="7">
        <v>10144.290000000001</v>
      </c>
      <c r="I35" s="2"/>
      <c r="J35" s="6">
        <f t="shared" si="17"/>
        <v>0</v>
      </c>
      <c r="K35" s="2"/>
      <c r="L35" s="7">
        <f t="shared" si="18"/>
        <v>735.72999999999956</v>
      </c>
      <c r="M35" s="2"/>
      <c r="N35" s="6">
        <f t="shared" si="19"/>
        <v>7.2526514916273044E-2</v>
      </c>
      <c r="O35" s="11"/>
      <c r="P35" s="7">
        <v>27514.53</v>
      </c>
      <c r="Q35" s="2"/>
      <c r="R35" s="6">
        <f t="shared" si="20"/>
        <v>0</v>
      </c>
      <c r="S35" s="2"/>
      <c r="T35" s="7">
        <v>36519.444000000003</v>
      </c>
      <c r="U35" s="2"/>
      <c r="V35" s="6">
        <f t="shared" si="21"/>
        <v>0</v>
      </c>
      <c r="W35" s="2"/>
      <c r="X35" s="7">
        <f t="shared" si="22"/>
        <v>-9004.9140000000043</v>
      </c>
      <c r="Y35" s="2"/>
      <c r="Z35" s="6">
        <f t="shared" si="23"/>
        <v>-0.24657861713338253</v>
      </c>
    </row>
    <row r="36" spans="1:26" s="24" customFormat="1" hidden="1" outlineLevel="2" x14ac:dyDescent="0.25">
      <c r="A36" s="27"/>
      <c r="B36" s="11" t="str">
        <f>CONCATENATE("          ", "6005", " - ", "TEMPORARY WAGES-HOURLY")</f>
        <v xml:space="preserve">          6005 - TEMPORARY WAGES-HOURLY</v>
      </c>
      <c r="C36" s="11"/>
      <c r="D36" s="7">
        <v>4541.66</v>
      </c>
      <c r="E36" s="2"/>
      <c r="F36" s="6">
        <f t="shared" si="16"/>
        <v>0</v>
      </c>
      <c r="G36" s="2"/>
      <c r="H36" s="7">
        <v>0</v>
      </c>
      <c r="I36" s="2"/>
      <c r="J36" s="6">
        <f t="shared" si="17"/>
        <v>0</v>
      </c>
      <c r="K36" s="2"/>
      <c r="L36" s="7">
        <f t="shared" si="18"/>
        <v>4541.66</v>
      </c>
      <c r="M36" s="2"/>
      <c r="N36" s="6">
        <f t="shared" si="19"/>
        <v>0</v>
      </c>
      <c r="O36" s="11"/>
      <c r="P36" s="7">
        <v>13866.21</v>
      </c>
      <c r="Q36" s="2"/>
      <c r="R36" s="6">
        <f t="shared" si="20"/>
        <v>0</v>
      </c>
      <c r="S36" s="2"/>
      <c r="T36" s="7">
        <v>0</v>
      </c>
      <c r="U36" s="2"/>
      <c r="V36" s="6">
        <f t="shared" si="21"/>
        <v>0</v>
      </c>
      <c r="W36" s="2"/>
      <c r="X36" s="7">
        <f t="shared" si="22"/>
        <v>13866.21</v>
      </c>
      <c r="Y36" s="2"/>
      <c r="Z36" s="6">
        <f t="shared" si="23"/>
        <v>0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7">
        <v>781.97</v>
      </c>
      <c r="E37" s="2"/>
      <c r="F37" s="6">
        <f t="shared" si="16"/>
        <v>0</v>
      </c>
      <c r="G37" s="2"/>
      <c r="H37" s="7">
        <v>0</v>
      </c>
      <c r="I37" s="2"/>
      <c r="J37" s="6">
        <f t="shared" si="17"/>
        <v>0</v>
      </c>
      <c r="K37" s="2"/>
      <c r="L37" s="7">
        <f t="shared" si="18"/>
        <v>781.97</v>
      </c>
      <c r="M37" s="2"/>
      <c r="N37" s="6">
        <f t="shared" si="19"/>
        <v>0</v>
      </c>
      <c r="O37" s="11"/>
      <c r="P37" s="7">
        <v>9877.6200000000008</v>
      </c>
      <c r="Q37" s="2"/>
      <c r="R37" s="6">
        <f t="shared" si="20"/>
        <v>0</v>
      </c>
      <c r="S37" s="2"/>
      <c r="T37" s="7">
        <v>0</v>
      </c>
      <c r="U37" s="2"/>
      <c r="V37" s="6">
        <f t="shared" si="21"/>
        <v>0</v>
      </c>
      <c r="W37" s="2"/>
      <c r="X37" s="7">
        <f t="shared" si="22"/>
        <v>9877.6200000000008</v>
      </c>
      <c r="Y37" s="2"/>
      <c r="Z37" s="6">
        <f t="shared" si="23"/>
        <v>0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7">
        <v>18702.11</v>
      </c>
      <c r="E38" s="2"/>
      <c r="F38" s="6">
        <f t="shared" si="16"/>
        <v>0</v>
      </c>
      <c r="G38" s="2"/>
      <c r="H38" s="7">
        <v>0</v>
      </c>
      <c r="I38" s="2"/>
      <c r="J38" s="6">
        <f t="shared" si="17"/>
        <v>0</v>
      </c>
      <c r="K38" s="2"/>
      <c r="L38" s="7">
        <f t="shared" si="18"/>
        <v>18702.11</v>
      </c>
      <c r="M38" s="2"/>
      <c r="N38" s="6">
        <f t="shared" si="19"/>
        <v>0</v>
      </c>
      <c r="O38" s="11"/>
      <c r="P38" s="7">
        <v>100856.73</v>
      </c>
      <c r="Q38" s="2"/>
      <c r="R38" s="6">
        <f t="shared" si="20"/>
        <v>0</v>
      </c>
      <c r="S38" s="2"/>
      <c r="T38" s="7">
        <v>60209.13</v>
      </c>
      <c r="U38" s="2"/>
      <c r="V38" s="6">
        <f t="shared" si="21"/>
        <v>0</v>
      </c>
      <c r="W38" s="2"/>
      <c r="X38" s="7">
        <f t="shared" si="22"/>
        <v>40647.599999999999</v>
      </c>
      <c r="Y38" s="2"/>
      <c r="Z38" s="6">
        <f t="shared" si="23"/>
        <v>0.67510691484829621</v>
      </c>
    </row>
    <row r="39" spans="1:26" s="24" customFormat="1" hidden="1" outlineLevel="2" x14ac:dyDescent="0.2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7">
        <v>1904.98</v>
      </c>
      <c r="E39" s="2"/>
      <c r="F39" s="6">
        <f t="shared" si="16"/>
        <v>0</v>
      </c>
      <c r="G39" s="2"/>
      <c r="H39" s="7">
        <v>21494.0625</v>
      </c>
      <c r="I39" s="2"/>
      <c r="J39" s="6">
        <f t="shared" si="17"/>
        <v>0</v>
      </c>
      <c r="K39" s="2"/>
      <c r="L39" s="7">
        <f t="shared" si="18"/>
        <v>-19589.0825</v>
      </c>
      <c r="M39" s="2"/>
      <c r="N39" s="6">
        <f t="shared" si="19"/>
        <v>-0.91137180325962108</v>
      </c>
      <c r="O39" s="11"/>
      <c r="P39" s="7">
        <v>9332.19</v>
      </c>
      <c r="Q39" s="2"/>
      <c r="R39" s="6">
        <f t="shared" si="20"/>
        <v>0</v>
      </c>
      <c r="S39" s="2"/>
      <c r="T39" s="7">
        <v>98617.157500000001</v>
      </c>
      <c r="U39" s="2"/>
      <c r="V39" s="6">
        <f t="shared" si="21"/>
        <v>0</v>
      </c>
      <c r="W39" s="2"/>
      <c r="X39" s="7">
        <f t="shared" si="22"/>
        <v>-89284.967499999999</v>
      </c>
      <c r="Y39" s="2"/>
      <c r="Z39" s="6">
        <f t="shared" si="23"/>
        <v>-0.9053695093574361</v>
      </c>
    </row>
    <row r="40" spans="1:26" s="24" customFormat="1" hidden="1" outlineLevel="2" x14ac:dyDescent="0.25">
      <c r="A40" s="27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6"/>
        <v>0</v>
      </c>
      <c r="G40" s="2"/>
      <c r="H40" s="7">
        <v>0</v>
      </c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0</v>
      </c>
      <c r="U40" s="2"/>
      <c r="V40" s="6">
        <f t="shared" si="21"/>
        <v>0</v>
      </c>
      <c r="W40" s="2"/>
      <c r="X40" s="7">
        <f t="shared" si="22"/>
        <v>0</v>
      </c>
      <c r="Y40" s="2"/>
      <c r="Z40" s="6">
        <f t="shared" si="23"/>
        <v>0</v>
      </c>
    </row>
    <row r="41" spans="1:26" s="24" customFormat="1" hidden="1" outlineLevel="2" x14ac:dyDescent="0.25">
      <c r="A41" s="27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6"/>
        <v>0</v>
      </c>
      <c r="G41" s="2"/>
      <c r="H41" s="7">
        <v>0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/>
      <c r="Q41" s="2"/>
      <c r="R41" s="6">
        <f t="shared" si="20"/>
        <v>0</v>
      </c>
      <c r="S41" s="2"/>
      <c r="T41" s="7">
        <v>0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8" customFormat="1" outlineLevel="1" collapsed="1" x14ac:dyDescent="0.25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4">IF(D$12=0,0,D42/D$12)</f>
        <v>0</v>
      </c>
      <c r="G42" s="1"/>
      <c r="H42" s="1">
        <f>SUM(OSRRefH22_2x_0)</f>
        <v>0</v>
      </c>
      <c r="I42" s="1"/>
      <c r="J42" s="5">
        <f t="shared" ref="J42:J50" si="25">IF(H$12=0,0,H42/H$12)</f>
        <v>0</v>
      </c>
      <c r="K42" s="1"/>
      <c r="L42" s="1">
        <f t="shared" ref="L42:L50" si="26">+D42-H42</f>
        <v>0</v>
      </c>
      <c r="M42" s="1"/>
      <c r="N42" s="5">
        <f t="shared" ref="N42:N50" si="27">IF(H42=0,0,L42/H42)</f>
        <v>0</v>
      </c>
      <c r="O42" s="14"/>
      <c r="P42" s="1">
        <f>SUM(OSRRefP22_2x_0)</f>
        <v>160</v>
      </c>
      <c r="Q42" s="1"/>
      <c r="R42" s="5">
        <f t="shared" ref="R42:R50" si="28">IF(P$12=0,0,P42/P$12)</f>
        <v>0</v>
      </c>
      <c r="S42" s="1"/>
      <c r="T42" s="1">
        <f>SUM(OSRRefT22_2x_0)</f>
        <v>0</v>
      </c>
      <c r="U42" s="1"/>
      <c r="V42" s="5">
        <f t="shared" ref="V42:V50" si="29">IF(T$12=0,0,T42/T$12)</f>
        <v>0</v>
      </c>
      <c r="W42" s="1"/>
      <c r="X42" s="1">
        <f t="shared" ref="X42:X50" si="30">+P42-T42</f>
        <v>160</v>
      </c>
      <c r="Y42" s="1"/>
      <c r="Z42" s="5">
        <f t="shared" ref="Z42:Z50" si="31">IF(T42=0,0,X42/T42)</f>
        <v>0</v>
      </c>
    </row>
    <row r="43" spans="1:26" s="24" customFormat="1" hidden="1" outlineLevel="2" x14ac:dyDescent="0.25">
      <c r="A43" s="27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4"/>
        <v>0</v>
      </c>
      <c r="G43" s="2"/>
      <c r="H43" s="7"/>
      <c r="I43" s="2"/>
      <c r="J43" s="6">
        <f t="shared" si="25"/>
        <v>0</v>
      </c>
      <c r="K43" s="2"/>
      <c r="L43" s="7">
        <f t="shared" si="26"/>
        <v>0</v>
      </c>
      <c r="M43" s="2"/>
      <c r="N43" s="6">
        <f t="shared" si="27"/>
        <v>0</v>
      </c>
      <c r="O43" s="11"/>
      <c r="P43" s="7">
        <v>160</v>
      </c>
      <c r="Q43" s="2"/>
      <c r="R43" s="6">
        <f t="shared" si="28"/>
        <v>0</v>
      </c>
      <c r="S43" s="2"/>
      <c r="T43" s="7"/>
      <c r="U43" s="2"/>
      <c r="V43" s="6">
        <f t="shared" si="29"/>
        <v>0</v>
      </c>
      <c r="W43" s="2"/>
      <c r="X43" s="7">
        <f t="shared" si="30"/>
        <v>160</v>
      </c>
      <c r="Y43" s="2"/>
      <c r="Z43" s="6">
        <f t="shared" si="31"/>
        <v>0</v>
      </c>
    </row>
    <row r="44" spans="1:26" s="28" customFormat="1" outlineLevel="1" collapsed="1" x14ac:dyDescent="0.25">
      <c r="A44" s="29"/>
      <c r="B44" s="14" t="str">
        <f>CONCATENATE("     ","Bad Debts/Over/Short                              ")</f>
        <v xml:space="preserve">     Bad Debts/Over/Short                              </v>
      </c>
      <c r="C44" s="14"/>
      <c r="D44" s="1">
        <f>SUM(OSRRefD22_3x_0)</f>
        <v>-20.8</v>
      </c>
      <c r="E44" s="1"/>
      <c r="F44" s="5">
        <f t="shared" si="24"/>
        <v>0</v>
      </c>
      <c r="G44" s="1"/>
      <c r="H44" s="1">
        <f>SUM(OSRRefH22_3x_0)</f>
        <v>200</v>
      </c>
      <c r="I44" s="1"/>
      <c r="J44" s="5">
        <f t="shared" si="25"/>
        <v>0</v>
      </c>
      <c r="K44" s="1"/>
      <c r="L44" s="1">
        <f t="shared" si="26"/>
        <v>-220.8</v>
      </c>
      <c r="M44" s="1"/>
      <c r="N44" s="5">
        <f t="shared" si="27"/>
        <v>-1.1040000000000001</v>
      </c>
      <c r="O44" s="14"/>
      <c r="P44" s="1">
        <f>SUM(OSRRefP22_3x_0)</f>
        <v>229.74</v>
      </c>
      <c r="Q44" s="1"/>
      <c r="R44" s="5">
        <f t="shared" si="28"/>
        <v>0</v>
      </c>
      <c r="S44" s="1"/>
      <c r="T44" s="1">
        <f>SUM(OSRRefT22_3x_0)</f>
        <v>800</v>
      </c>
      <c r="U44" s="1"/>
      <c r="V44" s="5">
        <f t="shared" si="29"/>
        <v>0</v>
      </c>
      <c r="W44" s="1"/>
      <c r="X44" s="1">
        <f t="shared" si="30"/>
        <v>-570.26</v>
      </c>
      <c r="Y44" s="1"/>
      <c r="Z44" s="5">
        <f t="shared" si="31"/>
        <v>-0.71282500000000004</v>
      </c>
    </row>
    <row r="45" spans="1:26" s="24" customFormat="1" hidden="1" outlineLevel="2" x14ac:dyDescent="0.25">
      <c r="A45" s="27"/>
      <c r="B45" s="11" t="str">
        <f>CONCATENATE("          ", "6272", " - ", "CASH (OVER/SHORT)")</f>
        <v xml:space="preserve">          6272 - CASH (OVER/SHORT)</v>
      </c>
      <c r="C45" s="11"/>
      <c r="D45" s="7">
        <v>-20.8</v>
      </c>
      <c r="E45" s="2"/>
      <c r="F45" s="6">
        <f t="shared" si="24"/>
        <v>0</v>
      </c>
      <c r="G45" s="2"/>
      <c r="H45" s="7">
        <v>200</v>
      </c>
      <c r="I45" s="2"/>
      <c r="J45" s="6">
        <f t="shared" si="25"/>
        <v>0</v>
      </c>
      <c r="K45" s="2"/>
      <c r="L45" s="7">
        <f t="shared" si="26"/>
        <v>-220.8</v>
      </c>
      <c r="M45" s="2"/>
      <c r="N45" s="6">
        <f t="shared" si="27"/>
        <v>-1.1040000000000001</v>
      </c>
      <c r="O45" s="11"/>
      <c r="P45" s="7">
        <v>229.74</v>
      </c>
      <c r="Q45" s="2"/>
      <c r="R45" s="6">
        <f t="shared" si="28"/>
        <v>0</v>
      </c>
      <c r="S45" s="2"/>
      <c r="T45" s="7">
        <v>800</v>
      </c>
      <c r="U45" s="2"/>
      <c r="V45" s="6">
        <f t="shared" si="29"/>
        <v>0</v>
      </c>
      <c r="W45" s="2"/>
      <c r="X45" s="7">
        <f t="shared" si="30"/>
        <v>-570.26</v>
      </c>
      <c r="Y45" s="2"/>
      <c r="Z45" s="6">
        <f t="shared" si="31"/>
        <v>-0.71282500000000004</v>
      </c>
    </row>
    <row r="46" spans="1:26" s="28" customFormat="1" outlineLevel="1" collapsed="1" x14ac:dyDescent="0.25">
      <c r="A46" s="29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12320.84</v>
      </c>
      <c r="E46" s="1"/>
      <c r="F46" s="5">
        <f t="shared" si="24"/>
        <v>0</v>
      </c>
      <c r="G46" s="1"/>
      <c r="H46" s="1">
        <f>SUM(OSRRefH22_4x_0)</f>
        <v>7300</v>
      </c>
      <c r="I46" s="1"/>
      <c r="J46" s="5">
        <f t="shared" si="25"/>
        <v>0</v>
      </c>
      <c r="K46" s="1"/>
      <c r="L46" s="1">
        <f t="shared" si="26"/>
        <v>5020.84</v>
      </c>
      <c r="M46" s="1"/>
      <c r="N46" s="5">
        <f t="shared" si="27"/>
        <v>0.68778630136986307</v>
      </c>
      <c r="O46" s="14"/>
      <c r="P46" s="1">
        <f>SUM(OSRRefP22_4x_0)</f>
        <v>48407.55</v>
      </c>
      <c r="Q46" s="1"/>
      <c r="R46" s="5">
        <f t="shared" si="28"/>
        <v>0</v>
      </c>
      <c r="S46" s="1"/>
      <c r="T46" s="1">
        <f>SUM(OSRRefT22_4x_0)</f>
        <v>79900</v>
      </c>
      <c r="U46" s="1"/>
      <c r="V46" s="5">
        <f t="shared" si="29"/>
        <v>0</v>
      </c>
      <c r="W46" s="1"/>
      <c r="X46" s="1">
        <f t="shared" si="30"/>
        <v>-31492.449999999997</v>
      </c>
      <c r="Y46" s="1"/>
      <c r="Z46" s="5">
        <f t="shared" si="31"/>
        <v>-0.39414831038798492</v>
      </c>
    </row>
    <row r="47" spans="1:26" s="24" customFormat="1" hidden="1" outlineLevel="2" x14ac:dyDescent="0.25">
      <c r="A47" s="27"/>
      <c r="B47" s="11" t="str">
        <f>CONCATENATE("          ", "6381", " - ", "BANK/CREDIT CARD FEES")</f>
        <v xml:space="preserve">          6381 - BANK/CREDIT CARD FEES</v>
      </c>
      <c r="C47" s="11"/>
      <c r="D47" s="7">
        <v>12320.84</v>
      </c>
      <c r="E47" s="2"/>
      <c r="F47" s="6">
        <f t="shared" si="24"/>
        <v>0</v>
      </c>
      <c r="G47" s="2"/>
      <c r="H47" s="7">
        <v>7300</v>
      </c>
      <c r="I47" s="2"/>
      <c r="J47" s="6">
        <f t="shared" si="25"/>
        <v>0</v>
      </c>
      <c r="K47" s="2"/>
      <c r="L47" s="7">
        <f t="shared" si="26"/>
        <v>5020.84</v>
      </c>
      <c r="M47" s="2"/>
      <c r="N47" s="6">
        <f t="shared" si="27"/>
        <v>0.68778630136986307</v>
      </c>
      <c r="O47" s="11"/>
      <c r="P47" s="7">
        <v>48407.55</v>
      </c>
      <c r="Q47" s="2"/>
      <c r="R47" s="6">
        <f t="shared" si="28"/>
        <v>0</v>
      </c>
      <c r="S47" s="2"/>
      <c r="T47" s="7">
        <v>79900</v>
      </c>
      <c r="U47" s="2"/>
      <c r="V47" s="6">
        <f t="shared" si="29"/>
        <v>0</v>
      </c>
      <c r="W47" s="2"/>
      <c r="X47" s="7">
        <f t="shared" si="30"/>
        <v>-31492.449999999997</v>
      </c>
      <c r="Y47" s="2"/>
      <c r="Z47" s="6">
        <f t="shared" si="31"/>
        <v>-0.39414831038798492</v>
      </c>
    </row>
    <row r="48" spans="1:26" s="28" customFormat="1" outlineLevel="1" collapsed="1" x14ac:dyDescent="0.25">
      <c r="A48" s="29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30444.98</v>
      </c>
      <c r="E48" s="1"/>
      <c r="F48" s="5">
        <f t="shared" si="24"/>
        <v>0</v>
      </c>
      <c r="G48" s="1"/>
      <c r="H48" s="1">
        <f>SUM(OSRRefH22_5x_0)</f>
        <v>30324</v>
      </c>
      <c r="I48" s="1"/>
      <c r="J48" s="5">
        <f t="shared" si="25"/>
        <v>0</v>
      </c>
      <c r="K48" s="1"/>
      <c r="L48" s="1">
        <f t="shared" si="26"/>
        <v>120.97999999999956</v>
      </c>
      <c r="M48" s="1"/>
      <c r="N48" s="5">
        <f t="shared" si="27"/>
        <v>3.9895792111858449E-3</v>
      </c>
      <c r="O48" s="14"/>
      <c r="P48" s="1">
        <f>SUM(OSRRefP22_5x_0)</f>
        <v>122097.38</v>
      </c>
      <c r="Q48" s="1"/>
      <c r="R48" s="5">
        <f t="shared" si="28"/>
        <v>0</v>
      </c>
      <c r="S48" s="1"/>
      <c r="T48" s="1">
        <f>SUM(OSRRefT22_5x_0)</f>
        <v>121613</v>
      </c>
      <c r="U48" s="1"/>
      <c r="V48" s="5">
        <f t="shared" si="29"/>
        <v>0</v>
      </c>
      <c r="W48" s="1"/>
      <c r="X48" s="1">
        <f t="shared" si="30"/>
        <v>484.38000000000466</v>
      </c>
      <c r="Y48" s="1"/>
      <c r="Z48" s="5">
        <f t="shared" si="31"/>
        <v>3.9829623477753585E-3</v>
      </c>
    </row>
    <row r="49" spans="1:26" s="24" customFormat="1" hidden="1" outlineLevel="2" x14ac:dyDescent="0.25">
      <c r="A49" s="27"/>
      <c r="B49" s="11" t="str">
        <f>CONCATENATE("          ", "6321", " - ", "BUILDING DEPRECIATION")</f>
        <v xml:space="preserve">          6321 - BUILDING DEPRECIATION</v>
      </c>
      <c r="C49" s="11"/>
      <c r="D49" s="7">
        <v>16396.52</v>
      </c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16396.52</v>
      </c>
      <c r="M49" s="2"/>
      <c r="N49" s="6">
        <f t="shared" si="27"/>
        <v>0</v>
      </c>
      <c r="O49" s="11"/>
      <c r="P49" s="7">
        <v>65586.080000000002</v>
      </c>
      <c r="Q49" s="2"/>
      <c r="R49" s="6">
        <f t="shared" si="28"/>
        <v>0</v>
      </c>
      <c r="S49" s="2"/>
      <c r="T49" s="7"/>
      <c r="U49" s="2"/>
      <c r="V49" s="6">
        <f t="shared" si="29"/>
        <v>0</v>
      </c>
      <c r="W49" s="2"/>
      <c r="X49" s="7">
        <f t="shared" si="30"/>
        <v>65586.080000000002</v>
      </c>
      <c r="Y49" s="2"/>
      <c r="Z49" s="6">
        <f t="shared" si="31"/>
        <v>0</v>
      </c>
    </row>
    <row r="50" spans="1:26" s="24" customFormat="1" hidden="1" outlineLevel="2" x14ac:dyDescent="0.25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14048.46</v>
      </c>
      <c r="E50" s="2"/>
      <c r="F50" s="6">
        <f t="shared" si="24"/>
        <v>0</v>
      </c>
      <c r="G50" s="2"/>
      <c r="H50" s="7">
        <v>30324</v>
      </c>
      <c r="I50" s="2"/>
      <c r="J50" s="6">
        <f t="shared" si="25"/>
        <v>0</v>
      </c>
      <c r="K50" s="2"/>
      <c r="L50" s="7">
        <f t="shared" si="26"/>
        <v>-16275.54</v>
      </c>
      <c r="M50" s="2"/>
      <c r="N50" s="6">
        <f t="shared" si="27"/>
        <v>-0.53672140878512076</v>
      </c>
      <c r="O50" s="11"/>
      <c r="P50" s="7">
        <v>56511.3</v>
      </c>
      <c r="Q50" s="2"/>
      <c r="R50" s="6">
        <f t="shared" si="28"/>
        <v>0</v>
      </c>
      <c r="S50" s="2"/>
      <c r="T50" s="7">
        <v>121613</v>
      </c>
      <c r="U50" s="2"/>
      <c r="V50" s="6">
        <f t="shared" si="29"/>
        <v>0</v>
      </c>
      <c r="W50" s="2"/>
      <c r="X50" s="7">
        <f t="shared" si="30"/>
        <v>-65101.7</v>
      </c>
      <c r="Y50" s="2"/>
      <c r="Z50" s="6">
        <f t="shared" si="31"/>
        <v>-0.53531859258467429</v>
      </c>
    </row>
    <row r="51" spans="1:26" s="28" customFormat="1" outlineLevel="1" collapsed="1" x14ac:dyDescent="0.25">
      <c r="A51" s="29"/>
      <c r="B51" s="14" t="str">
        <f>CONCATENATE("     ","Discounts and Markdowns                           ")</f>
        <v xml:space="preserve">     Discounts and Markdowns                           </v>
      </c>
      <c r="C51" s="14"/>
      <c r="D51" s="1">
        <f>SUM(OSRRefD22_6x_0)</f>
        <v>-0.21</v>
      </c>
      <c r="E51" s="1"/>
      <c r="F51" s="5">
        <f t="shared" ref="F51:F73" si="32">IF(D$12=0,0,D51/D$12)</f>
        <v>0</v>
      </c>
      <c r="G51" s="1"/>
      <c r="H51" s="1">
        <f>SUM(OSRRefH22_6x_0)</f>
        <v>0</v>
      </c>
      <c r="I51" s="1"/>
      <c r="J51" s="5">
        <f t="shared" ref="J51:J73" si="33">IF(H$12=0,0,H51/H$12)</f>
        <v>0</v>
      </c>
      <c r="K51" s="1"/>
      <c r="L51" s="1">
        <f t="shared" ref="L51:L73" si="34">+D51-H51</f>
        <v>-0.21</v>
      </c>
      <c r="M51" s="1"/>
      <c r="N51" s="5">
        <f t="shared" ref="N51:N73" si="35">IF(H51=0,0,L51/H51)</f>
        <v>0</v>
      </c>
      <c r="O51" s="14"/>
      <c r="P51" s="1">
        <f>SUM(OSRRefP22_6x_0)</f>
        <v>-22.7</v>
      </c>
      <c r="Q51" s="1"/>
      <c r="R51" s="5">
        <f t="shared" ref="R51:R73" si="36">IF(P$12=0,0,P51/P$12)</f>
        <v>0</v>
      </c>
      <c r="S51" s="1"/>
      <c r="T51" s="1">
        <f>SUM(OSRRefT22_6x_0)</f>
        <v>0</v>
      </c>
      <c r="U51" s="1"/>
      <c r="V51" s="5">
        <f t="shared" ref="V51:V73" si="37">IF(T$12=0,0,T51/T$12)</f>
        <v>0</v>
      </c>
      <c r="W51" s="1"/>
      <c r="X51" s="1">
        <f t="shared" ref="X51:X73" si="38">+P51-T51</f>
        <v>-22.7</v>
      </c>
      <c r="Y51" s="1"/>
      <c r="Z51" s="5">
        <f t="shared" ref="Z51:Z73" si="39">IF(T51=0,0,X51/T51)</f>
        <v>0</v>
      </c>
    </row>
    <row r="52" spans="1:26" s="24" customFormat="1" hidden="1" outlineLevel="2" x14ac:dyDescent="0.25">
      <c r="A52" s="27"/>
      <c r="B52" s="11" t="str">
        <f>CONCATENATE("          ", "9175", " - ", "EARNED DISCOUNTS")</f>
        <v xml:space="preserve">          9175 - EARNED DISCOUNTS</v>
      </c>
      <c r="C52" s="11"/>
      <c r="D52" s="7">
        <v>-0.21</v>
      </c>
      <c r="E52" s="2"/>
      <c r="F52" s="6">
        <f t="shared" si="32"/>
        <v>0</v>
      </c>
      <c r="G52" s="2"/>
      <c r="H52" s="7"/>
      <c r="I52" s="2"/>
      <c r="J52" s="6">
        <f t="shared" si="33"/>
        <v>0</v>
      </c>
      <c r="K52" s="2"/>
      <c r="L52" s="7">
        <f t="shared" si="34"/>
        <v>-0.21</v>
      </c>
      <c r="M52" s="2"/>
      <c r="N52" s="6">
        <f t="shared" si="35"/>
        <v>0</v>
      </c>
      <c r="O52" s="11"/>
      <c r="P52" s="7">
        <v>-22.7</v>
      </c>
      <c r="Q52" s="2"/>
      <c r="R52" s="6">
        <f t="shared" si="36"/>
        <v>0</v>
      </c>
      <c r="S52" s="2"/>
      <c r="T52" s="7"/>
      <c r="U52" s="2"/>
      <c r="V52" s="6">
        <f t="shared" si="37"/>
        <v>0</v>
      </c>
      <c r="W52" s="2"/>
      <c r="X52" s="7">
        <f t="shared" si="38"/>
        <v>-22.7</v>
      </c>
      <c r="Y52" s="2"/>
      <c r="Z52" s="6">
        <f t="shared" si="39"/>
        <v>0</v>
      </c>
    </row>
    <row r="53" spans="1:26" s="28" customFormat="1" outlineLevel="1" collapsed="1" x14ac:dyDescent="0.25">
      <c r="A53" s="29"/>
      <c r="B53" s="14" t="str">
        <f>CONCATENATE("     ","Donations                                         ")</f>
        <v xml:space="preserve">     Donations                                         </v>
      </c>
      <c r="C53" s="14"/>
      <c r="D53" s="1">
        <f>SUM(OSRRefD22_7x_0)</f>
        <v>1483.48</v>
      </c>
      <c r="E53" s="1"/>
      <c r="F53" s="5">
        <f t="shared" si="32"/>
        <v>0</v>
      </c>
      <c r="G53" s="1"/>
      <c r="H53" s="1">
        <f>SUM(OSRRefH22_7x_0)</f>
        <v>1250</v>
      </c>
      <c r="I53" s="1"/>
      <c r="J53" s="5">
        <f t="shared" si="33"/>
        <v>0</v>
      </c>
      <c r="K53" s="1"/>
      <c r="L53" s="1">
        <f t="shared" si="34"/>
        <v>233.48000000000002</v>
      </c>
      <c r="M53" s="1"/>
      <c r="N53" s="5">
        <f t="shared" si="35"/>
        <v>0.18678400000000001</v>
      </c>
      <c r="O53" s="14"/>
      <c r="P53" s="1">
        <f>SUM(OSRRefP22_7x_0)</f>
        <v>1483.48</v>
      </c>
      <c r="Q53" s="1"/>
      <c r="R53" s="5">
        <f t="shared" si="36"/>
        <v>0</v>
      </c>
      <c r="S53" s="1"/>
      <c r="T53" s="1">
        <f>SUM(OSRRefT22_7x_0)</f>
        <v>5000</v>
      </c>
      <c r="U53" s="1"/>
      <c r="V53" s="5">
        <f t="shared" si="37"/>
        <v>0</v>
      </c>
      <c r="W53" s="1"/>
      <c r="X53" s="1">
        <f t="shared" si="38"/>
        <v>-3516.52</v>
      </c>
      <c r="Y53" s="1"/>
      <c r="Z53" s="5">
        <f t="shared" si="39"/>
        <v>-0.70330400000000004</v>
      </c>
    </row>
    <row r="54" spans="1:26" s="24" customFormat="1" hidden="1" outlineLevel="2" x14ac:dyDescent="0.25">
      <c r="A54" s="27"/>
      <c r="B54" s="11" t="str">
        <f>CONCATENATE("          ", "6399", " - ", "DONATION-ON CAMPUS")</f>
        <v xml:space="preserve">          6399 - DONATION-ON CAMPUS</v>
      </c>
      <c r="C54" s="11"/>
      <c r="D54" s="7">
        <v>1483.48</v>
      </c>
      <c r="E54" s="2"/>
      <c r="F54" s="6">
        <f t="shared" si="32"/>
        <v>0</v>
      </c>
      <c r="G54" s="2"/>
      <c r="H54" s="7">
        <v>1250</v>
      </c>
      <c r="I54" s="2"/>
      <c r="J54" s="6">
        <f t="shared" si="33"/>
        <v>0</v>
      </c>
      <c r="K54" s="2"/>
      <c r="L54" s="7">
        <f t="shared" si="34"/>
        <v>233.48000000000002</v>
      </c>
      <c r="M54" s="2"/>
      <c r="N54" s="6">
        <f t="shared" si="35"/>
        <v>0.18678400000000001</v>
      </c>
      <c r="O54" s="11"/>
      <c r="P54" s="7">
        <v>1483.48</v>
      </c>
      <c r="Q54" s="2"/>
      <c r="R54" s="6">
        <f t="shared" si="36"/>
        <v>0</v>
      </c>
      <c r="S54" s="2"/>
      <c r="T54" s="7">
        <v>5000</v>
      </c>
      <c r="U54" s="2"/>
      <c r="V54" s="6">
        <f t="shared" si="37"/>
        <v>0</v>
      </c>
      <c r="W54" s="2"/>
      <c r="X54" s="7">
        <f t="shared" si="38"/>
        <v>-3516.52</v>
      </c>
      <c r="Y54" s="2"/>
      <c r="Z54" s="6">
        <f t="shared" si="39"/>
        <v>-0.70330400000000004</v>
      </c>
    </row>
    <row r="55" spans="1:26" s="28" customFormat="1" outlineLevel="1" collapsed="1" x14ac:dyDescent="0.25">
      <c r="A55" s="29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SUM(OSRRefD22_8x_0)</f>
        <v>0</v>
      </c>
      <c r="E55" s="1"/>
      <c r="F55" s="5">
        <f t="shared" si="32"/>
        <v>0</v>
      </c>
      <c r="G55" s="1"/>
      <c r="H55" s="1">
        <f>SUM(OSRRefH22_8x_0)</f>
        <v>100</v>
      </c>
      <c r="I55" s="1"/>
      <c r="J55" s="5">
        <f t="shared" si="33"/>
        <v>0</v>
      </c>
      <c r="K55" s="1"/>
      <c r="L55" s="1">
        <f t="shared" si="34"/>
        <v>-100</v>
      </c>
      <c r="M55" s="1"/>
      <c r="N55" s="5">
        <f t="shared" si="35"/>
        <v>-1</v>
      </c>
      <c r="O55" s="14"/>
      <c r="P55" s="1">
        <f>SUM(OSRRefP22_8x_0)</f>
        <v>1168.19</v>
      </c>
      <c r="Q55" s="1"/>
      <c r="R55" s="5">
        <f t="shared" si="36"/>
        <v>0</v>
      </c>
      <c r="S55" s="1"/>
      <c r="T55" s="1">
        <f>SUM(OSRRefT22_8x_0)</f>
        <v>400</v>
      </c>
      <c r="U55" s="1"/>
      <c r="V55" s="5">
        <f t="shared" si="37"/>
        <v>0</v>
      </c>
      <c r="W55" s="1"/>
      <c r="X55" s="1">
        <f t="shared" si="38"/>
        <v>768.19</v>
      </c>
      <c r="Y55" s="1"/>
      <c r="Z55" s="5">
        <f t="shared" si="39"/>
        <v>1.9204750000000002</v>
      </c>
    </row>
    <row r="56" spans="1:26" s="24" customFormat="1" hidden="1" outlineLevel="2" x14ac:dyDescent="0.25">
      <c r="A56" s="27"/>
      <c r="B56" s="11" t="str">
        <f>CONCATENATE("          ", "6277", " - ", "EMPLOYEE APPRECIATION")</f>
        <v xml:space="preserve">          6277 - EMPLOYEE APPRECIATION</v>
      </c>
      <c r="C56" s="11"/>
      <c r="D56" s="7"/>
      <c r="E56" s="2"/>
      <c r="F56" s="6">
        <f t="shared" si="32"/>
        <v>0</v>
      </c>
      <c r="G56" s="2"/>
      <c r="H56" s="7">
        <v>100</v>
      </c>
      <c r="I56" s="2"/>
      <c r="J56" s="6">
        <f t="shared" si="33"/>
        <v>0</v>
      </c>
      <c r="K56" s="2"/>
      <c r="L56" s="7">
        <f t="shared" si="34"/>
        <v>-100</v>
      </c>
      <c r="M56" s="2"/>
      <c r="N56" s="6">
        <f t="shared" si="35"/>
        <v>-1</v>
      </c>
      <c r="O56" s="11"/>
      <c r="P56" s="7">
        <v>1168.19</v>
      </c>
      <c r="Q56" s="2"/>
      <c r="R56" s="6">
        <f t="shared" si="36"/>
        <v>0</v>
      </c>
      <c r="S56" s="2"/>
      <c r="T56" s="7">
        <v>400</v>
      </c>
      <c r="U56" s="2"/>
      <c r="V56" s="6">
        <f t="shared" si="37"/>
        <v>0</v>
      </c>
      <c r="W56" s="2"/>
      <c r="X56" s="7">
        <f t="shared" si="38"/>
        <v>768.19</v>
      </c>
      <c r="Y56" s="2"/>
      <c r="Z56" s="6">
        <f t="shared" si="39"/>
        <v>1.9204750000000002</v>
      </c>
    </row>
    <row r="57" spans="1:26" s="28" customFormat="1" outlineLevel="1" collapsed="1" x14ac:dyDescent="0.25">
      <c r="A57" s="29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SUM(OSRRefD22_9x_0)</f>
        <v>234.45</v>
      </c>
      <c r="E57" s="1"/>
      <c r="F57" s="5">
        <f t="shared" si="32"/>
        <v>0</v>
      </c>
      <c r="G57" s="1"/>
      <c r="H57" s="1">
        <f>SUM(OSRRefH22_9x_0)</f>
        <v>300</v>
      </c>
      <c r="I57" s="1"/>
      <c r="J57" s="5">
        <f t="shared" si="33"/>
        <v>0</v>
      </c>
      <c r="K57" s="1"/>
      <c r="L57" s="1">
        <f t="shared" si="34"/>
        <v>-65.550000000000011</v>
      </c>
      <c r="M57" s="1"/>
      <c r="N57" s="5">
        <f t="shared" si="35"/>
        <v>-0.21850000000000003</v>
      </c>
      <c r="O57" s="14"/>
      <c r="P57" s="1">
        <f>SUM(OSRRefP22_9x_0)</f>
        <v>1423.8</v>
      </c>
      <c r="Q57" s="1"/>
      <c r="R57" s="5">
        <f t="shared" si="36"/>
        <v>0</v>
      </c>
      <c r="S57" s="1"/>
      <c r="T57" s="1">
        <f>SUM(OSRRefT22_9x_0)</f>
        <v>1200</v>
      </c>
      <c r="U57" s="1"/>
      <c r="V57" s="5">
        <f t="shared" si="37"/>
        <v>0</v>
      </c>
      <c r="W57" s="1"/>
      <c r="X57" s="1">
        <f t="shared" si="38"/>
        <v>223.79999999999995</v>
      </c>
      <c r="Y57" s="1"/>
      <c r="Z57" s="5">
        <f t="shared" si="39"/>
        <v>0.18649999999999997</v>
      </c>
    </row>
    <row r="58" spans="1:26" s="24" customFormat="1" hidden="1" outlineLevel="2" x14ac:dyDescent="0.25">
      <c r="A58" s="27"/>
      <c r="B58" s="11" t="str">
        <f>CONCATENATE("          ", "6351", " - ", "EQUIPMENT RENTAL")</f>
        <v xml:space="preserve">          6351 - EQUIPMENT RENTAL</v>
      </c>
      <c r="C58" s="11"/>
      <c r="D58" s="7">
        <v>234.45</v>
      </c>
      <c r="E58" s="2"/>
      <c r="F58" s="6">
        <f t="shared" si="32"/>
        <v>0</v>
      </c>
      <c r="G58" s="2"/>
      <c r="H58" s="7">
        <v>300</v>
      </c>
      <c r="I58" s="2"/>
      <c r="J58" s="6">
        <f t="shared" si="33"/>
        <v>0</v>
      </c>
      <c r="K58" s="2"/>
      <c r="L58" s="7">
        <f t="shared" si="34"/>
        <v>-65.550000000000011</v>
      </c>
      <c r="M58" s="2"/>
      <c r="N58" s="6">
        <f t="shared" si="35"/>
        <v>-0.21850000000000003</v>
      </c>
      <c r="O58" s="11"/>
      <c r="P58" s="7">
        <v>1423.8</v>
      </c>
      <c r="Q58" s="2"/>
      <c r="R58" s="6">
        <f t="shared" si="36"/>
        <v>0</v>
      </c>
      <c r="S58" s="2"/>
      <c r="T58" s="7">
        <v>1200</v>
      </c>
      <c r="U58" s="2"/>
      <c r="V58" s="6">
        <f t="shared" si="37"/>
        <v>0</v>
      </c>
      <c r="W58" s="2"/>
      <c r="X58" s="7">
        <f t="shared" si="38"/>
        <v>223.79999999999995</v>
      </c>
      <c r="Y58" s="2"/>
      <c r="Z58" s="6">
        <f t="shared" si="39"/>
        <v>0.18649999999999997</v>
      </c>
    </row>
    <row r="59" spans="1:26" s="28" customFormat="1" outlineLevel="1" collapsed="1" x14ac:dyDescent="0.25">
      <c r="A59" s="29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SUM(OSRRefD22_10x_0)</f>
        <v>1231.9000000000001</v>
      </c>
      <c r="E59" s="1"/>
      <c r="F59" s="5">
        <f t="shared" si="32"/>
        <v>0</v>
      </c>
      <c r="G59" s="1"/>
      <c r="H59" s="1">
        <f>SUM(OSRRefH22_10x_0)</f>
        <v>100</v>
      </c>
      <c r="I59" s="1"/>
      <c r="J59" s="5">
        <f t="shared" si="33"/>
        <v>0</v>
      </c>
      <c r="K59" s="1"/>
      <c r="L59" s="1">
        <f t="shared" si="34"/>
        <v>1131.9000000000001</v>
      </c>
      <c r="M59" s="1"/>
      <c r="N59" s="5">
        <f t="shared" si="35"/>
        <v>11.319000000000001</v>
      </c>
      <c r="O59" s="14"/>
      <c r="P59" s="1">
        <f>SUM(OSRRefP22_10x_0)</f>
        <v>2164.23</v>
      </c>
      <c r="Q59" s="1"/>
      <c r="R59" s="5">
        <f t="shared" si="36"/>
        <v>0</v>
      </c>
      <c r="S59" s="1"/>
      <c r="T59" s="1">
        <f>SUM(OSRRefT22_10x_0)</f>
        <v>400</v>
      </c>
      <c r="U59" s="1"/>
      <c r="V59" s="5">
        <f t="shared" si="37"/>
        <v>0</v>
      </c>
      <c r="W59" s="1"/>
      <c r="X59" s="1">
        <f t="shared" si="38"/>
        <v>1764.23</v>
      </c>
      <c r="Y59" s="1"/>
      <c r="Z59" s="5">
        <f t="shared" si="39"/>
        <v>4.4105749999999997</v>
      </c>
    </row>
    <row r="60" spans="1:26" s="24" customFormat="1" hidden="1" outlineLevel="2" x14ac:dyDescent="0.25">
      <c r="A60" s="27"/>
      <c r="B60" s="11" t="str">
        <f>CONCATENATE("          ", "6307", " - ", "POSTAGE")</f>
        <v xml:space="preserve">          6307 - POSTAGE</v>
      </c>
      <c r="C60" s="11"/>
      <c r="D60" s="7">
        <v>1231.9000000000001</v>
      </c>
      <c r="E60" s="2"/>
      <c r="F60" s="6">
        <f t="shared" si="32"/>
        <v>0</v>
      </c>
      <c r="G60" s="2"/>
      <c r="H60" s="7">
        <v>100</v>
      </c>
      <c r="I60" s="2"/>
      <c r="J60" s="6">
        <f t="shared" si="33"/>
        <v>0</v>
      </c>
      <c r="K60" s="2"/>
      <c r="L60" s="7">
        <f t="shared" si="34"/>
        <v>1131.9000000000001</v>
      </c>
      <c r="M60" s="2"/>
      <c r="N60" s="6">
        <f t="shared" si="35"/>
        <v>11.319000000000001</v>
      </c>
      <c r="O60" s="11"/>
      <c r="P60" s="7">
        <v>2164.23</v>
      </c>
      <c r="Q60" s="2"/>
      <c r="R60" s="6">
        <f t="shared" si="36"/>
        <v>0</v>
      </c>
      <c r="S60" s="2"/>
      <c r="T60" s="7">
        <v>400</v>
      </c>
      <c r="U60" s="2"/>
      <c r="V60" s="6">
        <f t="shared" si="37"/>
        <v>0</v>
      </c>
      <c r="W60" s="2"/>
      <c r="X60" s="7">
        <f t="shared" si="38"/>
        <v>1764.23</v>
      </c>
      <c r="Y60" s="2"/>
      <c r="Z60" s="6">
        <f t="shared" si="39"/>
        <v>4.4105749999999997</v>
      </c>
    </row>
    <row r="61" spans="1:26" s="28" customFormat="1" outlineLevel="1" collapsed="1" x14ac:dyDescent="0.25">
      <c r="A61" s="29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SUM(OSRRefD22_11x_0)</f>
        <v>327.5</v>
      </c>
      <c r="E61" s="1"/>
      <c r="F61" s="5">
        <f t="shared" si="32"/>
        <v>0</v>
      </c>
      <c r="G61" s="1"/>
      <c r="H61" s="1">
        <f>SUM(OSRRefH22_11x_0)</f>
        <v>200</v>
      </c>
      <c r="I61" s="1"/>
      <c r="J61" s="5">
        <f t="shared" si="33"/>
        <v>0</v>
      </c>
      <c r="K61" s="1"/>
      <c r="L61" s="1">
        <f t="shared" si="34"/>
        <v>127.5</v>
      </c>
      <c r="M61" s="1"/>
      <c r="N61" s="5">
        <f t="shared" si="35"/>
        <v>0.63749999999999996</v>
      </c>
      <c r="O61" s="14"/>
      <c r="P61" s="1">
        <f>SUM(OSRRefP22_11x_0)</f>
        <v>1874.75</v>
      </c>
      <c r="Q61" s="1"/>
      <c r="R61" s="5">
        <f t="shared" si="36"/>
        <v>0</v>
      </c>
      <c r="S61" s="1"/>
      <c r="T61" s="1">
        <f>SUM(OSRRefT22_11x_0)</f>
        <v>800</v>
      </c>
      <c r="U61" s="1"/>
      <c r="V61" s="5">
        <f t="shared" si="37"/>
        <v>0</v>
      </c>
      <c r="W61" s="1"/>
      <c r="X61" s="1">
        <f t="shared" si="38"/>
        <v>1074.75</v>
      </c>
      <c r="Y61" s="1"/>
      <c r="Z61" s="5">
        <f t="shared" si="39"/>
        <v>1.3434375000000001</v>
      </c>
    </row>
    <row r="62" spans="1:26" s="24" customFormat="1" hidden="1" outlineLevel="2" x14ac:dyDescent="0.25">
      <c r="A62" s="27"/>
      <c r="B62" s="11" t="str">
        <f>CONCATENATE("          ", "6279", " - ", "GENERAL EXPENSE")</f>
        <v xml:space="preserve">          6279 - GENERAL EXPENSE</v>
      </c>
      <c r="C62" s="11"/>
      <c r="D62" s="7">
        <v>327.5</v>
      </c>
      <c r="E62" s="2"/>
      <c r="F62" s="6">
        <f t="shared" si="32"/>
        <v>0</v>
      </c>
      <c r="G62" s="2"/>
      <c r="H62" s="7">
        <v>200</v>
      </c>
      <c r="I62" s="2"/>
      <c r="J62" s="6">
        <f t="shared" si="33"/>
        <v>0</v>
      </c>
      <c r="K62" s="2"/>
      <c r="L62" s="7">
        <f t="shared" si="34"/>
        <v>127.5</v>
      </c>
      <c r="M62" s="2"/>
      <c r="N62" s="6">
        <f t="shared" si="35"/>
        <v>0.63749999999999996</v>
      </c>
      <c r="O62" s="11"/>
      <c r="P62" s="7">
        <v>1874.75</v>
      </c>
      <c r="Q62" s="2"/>
      <c r="R62" s="6">
        <f t="shared" si="36"/>
        <v>0</v>
      </c>
      <c r="S62" s="2"/>
      <c r="T62" s="7">
        <v>800</v>
      </c>
      <c r="U62" s="2"/>
      <c r="V62" s="6">
        <f t="shared" si="37"/>
        <v>0</v>
      </c>
      <c r="W62" s="2"/>
      <c r="X62" s="7">
        <f t="shared" si="38"/>
        <v>1074.75</v>
      </c>
      <c r="Y62" s="2"/>
      <c r="Z62" s="6">
        <f t="shared" si="39"/>
        <v>1.3434375000000001</v>
      </c>
    </row>
    <row r="63" spans="1:26" s="28" customFormat="1" outlineLevel="1" collapsed="1" x14ac:dyDescent="0.25">
      <c r="A63" s="29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SUM(OSRRefD22_12x_0)</f>
        <v>5275.49</v>
      </c>
      <c r="E63" s="1"/>
      <c r="F63" s="5">
        <f t="shared" si="32"/>
        <v>0</v>
      </c>
      <c r="G63" s="1"/>
      <c r="H63" s="1">
        <f>SUM(OSRRefH22_12x_0)</f>
        <v>5200</v>
      </c>
      <c r="I63" s="1"/>
      <c r="J63" s="5">
        <f t="shared" si="33"/>
        <v>0</v>
      </c>
      <c r="K63" s="1"/>
      <c r="L63" s="1">
        <f t="shared" si="34"/>
        <v>75.489999999999782</v>
      </c>
      <c r="M63" s="1"/>
      <c r="N63" s="5">
        <f t="shared" si="35"/>
        <v>1.4517307692307651E-2</v>
      </c>
      <c r="O63" s="14"/>
      <c r="P63" s="1">
        <f>SUM(OSRRefP22_12x_0)</f>
        <v>21101.96</v>
      </c>
      <c r="Q63" s="1"/>
      <c r="R63" s="5">
        <f t="shared" si="36"/>
        <v>0</v>
      </c>
      <c r="S63" s="1"/>
      <c r="T63" s="1">
        <f>SUM(OSRRefT22_12x_0)</f>
        <v>20800</v>
      </c>
      <c r="U63" s="1"/>
      <c r="V63" s="5">
        <f t="shared" si="37"/>
        <v>0</v>
      </c>
      <c r="W63" s="1"/>
      <c r="X63" s="1">
        <f t="shared" si="38"/>
        <v>301.95999999999913</v>
      </c>
      <c r="Y63" s="1"/>
      <c r="Z63" s="5">
        <f t="shared" si="39"/>
        <v>1.4517307692307651E-2</v>
      </c>
    </row>
    <row r="64" spans="1:26" s="24" customFormat="1" hidden="1" outlineLevel="2" x14ac:dyDescent="0.25">
      <c r="A64" s="27"/>
      <c r="B64" s="11" t="str">
        <f>CONCATENATE("          ", "6314", " - ", "LIABILITY INSURANCE")</f>
        <v xml:space="preserve">          6314 - LIABILITY INSURANCE</v>
      </c>
      <c r="C64" s="11"/>
      <c r="D64" s="7">
        <v>5275.49</v>
      </c>
      <c r="E64" s="2"/>
      <c r="F64" s="6">
        <f t="shared" si="32"/>
        <v>0</v>
      </c>
      <c r="G64" s="2"/>
      <c r="H64" s="7">
        <v>5200</v>
      </c>
      <c r="I64" s="2"/>
      <c r="J64" s="6">
        <f t="shared" si="33"/>
        <v>0</v>
      </c>
      <c r="K64" s="2"/>
      <c r="L64" s="7">
        <f t="shared" si="34"/>
        <v>75.489999999999782</v>
      </c>
      <c r="M64" s="2"/>
      <c r="N64" s="6">
        <f t="shared" si="35"/>
        <v>1.4517307692307651E-2</v>
      </c>
      <c r="O64" s="11"/>
      <c r="P64" s="7">
        <v>21101.96</v>
      </c>
      <c r="Q64" s="2"/>
      <c r="R64" s="6">
        <f t="shared" si="36"/>
        <v>0</v>
      </c>
      <c r="S64" s="2"/>
      <c r="T64" s="7">
        <v>20800</v>
      </c>
      <c r="U64" s="2"/>
      <c r="V64" s="6">
        <f t="shared" si="37"/>
        <v>0</v>
      </c>
      <c r="W64" s="2"/>
      <c r="X64" s="7">
        <f t="shared" si="38"/>
        <v>301.95999999999913</v>
      </c>
      <c r="Y64" s="2"/>
      <c r="Z64" s="6">
        <f t="shared" si="39"/>
        <v>1.4517307692307651E-2</v>
      </c>
    </row>
    <row r="65" spans="1:26" s="28" customFormat="1" outlineLevel="1" collapsed="1" x14ac:dyDescent="0.25">
      <c r="A65" s="29"/>
      <c r="B65" s="14" t="str">
        <f>CONCATENATE("     ","Professional Services                             ")</f>
        <v xml:space="preserve">     Professional Services                             </v>
      </c>
      <c r="C65" s="14"/>
      <c r="D65" s="1">
        <f>SUM(OSRRefD22_13x_0)</f>
        <v>7517.43</v>
      </c>
      <c r="E65" s="1"/>
      <c r="F65" s="5">
        <f t="shared" si="32"/>
        <v>0</v>
      </c>
      <c r="G65" s="1"/>
      <c r="H65" s="1">
        <f>SUM(OSRRefH22_13x_0)</f>
        <v>0</v>
      </c>
      <c r="I65" s="1"/>
      <c r="J65" s="5">
        <f t="shared" si="33"/>
        <v>0</v>
      </c>
      <c r="K65" s="1"/>
      <c r="L65" s="1">
        <f t="shared" si="34"/>
        <v>7517.43</v>
      </c>
      <c r="M65" s="1"/>
      <c r="N65" s="5">
        <f t="shared" si="35"/>
        <v>0</v>
      </c>
      <c r="O65" s="14"/>
      <c r="P65" s="1">
        <f>SUM(OSRRefP22_13x_0)</f>
        <v>7517.43</v>
      </c>
      <c r="Q65" s="1"/>
      <c r="R65" s="5">
        <f t="shared" si="36"/>
        <v>0</v>
      </c>
      <c r="S65" s="1"/>
      <c r="T65" s="1">
        <f>SUM(OSRRefT22_13x_0)</f>
        <v>0</v>
      </c>
      <c r="U65" s="1"/>
      <c r="V65" s="5">
        <f t="shared" si="37"/>
        <v>0</v>
      </c>
      <c r="W65" s="1"/>
      <c r="X65" s="1">
        <f t="shared" si="38"/>
        <v>7517.43</v>
      </c>
      <c r="Y65" s="1"/>
      <c r="Z65" s="5">
        <f t="shared" si="39"/>
        <v>0</v>
      </c>
    </row>
    <row r="66" spans="1:26" s="24" customFormat="1" hidden="1" outlineLevel="2" x14ac:dyDescent="0.25">
      <c r="A66" s="27"/>
      <c r="B66" s="11" t="str">
        <f>CONCATENATE("          ", "6336", " - ", "PROFESSIONAL SERVICES")</f>
        <v xml:space="preserve">          6336 - PROFESSIONAL SERVICES</v>
      </c>
      <c r="C66" s="11"/>
      <c r="D66" s="7">
        <v>7517.43</v>
      </c>
      <c r="E66" s="2"/>
      <c r="F66" s="6">
        <f t="shared" si="32"/>
        <v>0</v>
      </c>
      <c r="G66" s="2"/>
      <c r="H66" s="7"/>
      <c r="I66" s="2"/>
      <c r="J66" s="6">
        <f t="shared" si="33"/>
        <v>0</v>
      </c>
      <c r="K66" s="2"/>
      <c r="L66" s="7">
        <f t="shared" si="34"/>
        <v>7517.43</v>
      </c>
      <c r="M66" s="2"/>
      <c r="N66" s="6">
        <f t="shared" si="35"/>
        <v>0</v>
      </c>
      <c r="O66" s="11"/>
      <c r="P66" s="7">
        <v>7517.43</v>
      </c>
      <c r="Q66" s="2"/>
      <c r="R66" s="6">
        <f t="shared" si="36"/>
        <v>0</v>
      </c>
      <c r="S66" s="2"/>
      <c r="T66" s="7"/>
      <c r="U66" s="2"/>
      <c r="V66" s="6">
        <f t="shared" si="37"/>
        <v>0</v>
      </c>
      <c r="W66" s="2"/>
      <c r="X66" s="7">
        <f t="shared" si="38"/>
        <v>7517.43</v>
      </c>
      <c r="Y66" s="2"/>
      <c r="Z66" s="6">
        <f t="shared" si="39"/>
        <v>0</v>
      </c>
    </row>
    <row r="67" spans="1:26" s="28" customFormat="1" outlineLevel="1" collapsed="1" x14ac:dyDescent="0.25">
      <c r="A67" s="29"/>
      <c r="B67" s="14" t="str">
        <f>CONCATENATE("     ","Rent                                              ")</f>
        <v xml:space="preserve">     Rent                                              </v>
      </c>
      <c r="C67" s="14"/>
      <c r="D67" s="1">
        <f>SUM(OSRRefD22_14x_0)</f>
        <v>-800</v>
      </c>
      <c r="E67" s="1"/>
      <c r="F67" s="5">
        <f t="shared" si="32"/>
        <v>0</v>
      </c>
      <c r="G67" s="1"/>
      <c r="H67" s="1">
        <f>SUM(OSRRefH22_14x_0)</f>
        <v>-800</v>
      </c>
      <c r="I67" s="1"/>
      <c r="J67" s="5">
        <f t="shared" si="33"/>
        <v>0</v>
      </c>
      <c r="K67" s="1"/>
      <c r="L67" s="1">
        <f t="shared" si="34"/>
        <v>0</v>
      </c>
      <c r="M67" s="1"/>
      <c r="N67" s="5">
        <f t="shared" si="35"/>
        <v>0</v>
      </c>
      <c r="O67" s="14"/>
      <c r="P67" s="1">
        <f>SUM(OSRRefP22_14x_0)</f>
        <v>-3200</v>
      </c>
      <c r="Q67" s="1"/>
      <c r="R67" s="5">
        <f t="shared" si="36"/>
        <v>0</v>
      </c>
      <c r="S67" s="1"/>
      <c r="T67" s="1">
        <f>SUM(OSRRefT22_14x_0)</f>
        <v>-3200</v>
      </c>
      <c r="U67" s="1"/>
      <c r="V67" s="5">
        <f t="shared" si="37"/>
        <v>0</v>
      </c>
      <c r="W67" s="1"/>
      <c r="X67" s="1">
        <f t="shared" si="38"/>
        <v>0</v>
      </c>
      <c r="Y67" s="1"/>
      <c r="Z67" s="5">
        <f t="shared" si="39"/>
        <v>0</v>
      </c>
    </row>
    <row r="68" spans="1:26" s="24" customFormat="1" hidden="1" outlineLevel="2" x14ac:dyDescent="0.25">
      <c r="A68" s="27"/>
      <c r="B68" s="11" t="str">
        <f>CONCATENATE("          ", "6273", " - ", "RENT")</f>
        <v xml:space="preserve">          6273 - RENT</v>
      </c>
      <c r="C68" s="11"/>
      <c r="D68" s="7">
        <v>-800</v>
      </c>
      <c r="E68" s="2"/>
      <c r="F68" s="6">
        <f t="shared" si="32"/>
        <v>0</v>
      </c>
      <c r="G68" s="2"/>
      <c r="H68" s="7">
        <v>-800</v>
      </c>
      <c r="I68" s="2"/>
      <c r="J68" s="6">
        <f t="shared" si="33"/>
        <v>0</v>
      </c>
      <c r="K68" s="2"/>
      <c r="L68" s="7">
        <f t="shared" si="34"/>
        <v>0</v>
      </c>
      <c r="M68" s="2"/>
      <c r="N68" s="6">
        <f t="shared" si="35"/>
        <v>0</v>
      </c>
      <c r="O68" s="11"/>
      <c r="P68" s="7">
        <v>-3200</v>
      </c>
      <c r="Q68" s="2"/>
      <c r="R68" s="6">
        <f t="shared" si="36"/>
        <v>0</v>
      </c>
      <c r="S68" s="2"/>
      <c r="T68" s="7">
        <v>-3200</v>
      </c>
      <c r="U68" s="2"/>
      <c r="V68" s="6">
        <f t="shared" si="37"/>
        <v>0</v>
      </c>
      <c r="W68" s="2"/>
      <c r="X68" s="7">
        <f t="shared" si="38"/>
        <v>0</v>
      </c>
      <c r="Y68" s="2"/>
      <c r="Z68" s="6">
        <f t="shared" si="39"/>
        <v>0</v>
      </c>
    </row>
    <row r="69" spans="1:26" s="28" customFormat="1" outlineLevel="1" collapsed="1" x14ac:dyDescent="0.25">
      <c r="A69" s="29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SUM(OSRRefD22_15x_0)</f>
        <v>1190.8</v>
      </c>
      <c r="E69" s="1"/>
      <c r="F69" s="5">
        <f t="shared" si="32"/>
        <v>0</v>
      </c>
      <c r="G69" s="1"/>
      <c r="H69" s="1">
        <f>SUM(OSRRefH22_15x_0)</f>
        <v>4950</v>
      </c>
      <c r="I69" s="1"/>
      <c r="J69" s="5">
        <f t="shared" si="33"/>
        <v>0</v>
      </c>
      <c r="K69" s="1"/>
      <c r="L69" s="1">
        <f t="shared" si="34"/>
        <v>-3759.2</v>
      </c>
      <c r="M69" s="1"/>
      <c r="N69" s="5">
        <f t="shared" si="35"/>
        <v>-0.75943434343434335</v>
      </c>
      <c r="O69" s="14"/>
      <c r="P69" s="1">
        <f>SUM(OSRRefP22_15x_0)</f>
        <v>69981.56</v>
      </c>
      <c r="Q69" s="1"/>
      <c r="R69" s="5">
        <f t="shared" si="36"/>
        <v>0</v>
      </c>
      <c r="S69" s="1"/>
      <c r="T69" s="1">
        <f>SUM(OSRRefT22_15x_0)</f>
        <v>55420</v>
      </c>
      <c r="U69" s="1"/>
      <c r="V69" s="5">
        <f t="shared" si="37"/>
        <v>0</v>
      </c>
      <c r="W69" s="1"/>
      <c r="X69" s="1">
        <f t="shared" si="38"/>
        <v>14561.559999999998</v>
      </c>
      <c r="Y69" s="1"/>
      <c r="Z69" s="5">
        <f t="shared" si="39"/>
        <v>0.26274918801876573</v>
      </c>
    </row>
    <row r="70" spans="1:26" s="24" customFormat="1" hidden="1" outlineLevel="2" x14ac:dyDescent="0.25">
      <c r="A70" s="27"/>
      <c r="B70" s="11" t="str">
        <f>CONCATENATE("          ", "6371", " - ", "COMPUTER SOFTWARE MAINTENANCE")</f>
        <v xml:space="preserve">          6371 - COMPUTER SOFTWARE MAINTENANCE</v>
      </c>
      <c r="C70" s="11"/>
      <c r="D70" s="7"/>
      <c r="E70" s="2"/>
      <c r="F70" s="6">
        <f t="shared" si="32"/>
        <v>0</v>
      </c>
      <c r="G70" s="2"/>
      <c r="H70" s="7">
        <v>1000</v>
      </c>
      <c r="I70" s="2"/>
      <c r="J70" s="6">
        <f t="shared" si="33"/>
        <v>0</v>
      </c>
      <c r="K70" s="2"/>
      <c r="L70" s="7">
        <f t="shared" si="34"/>
        <v>-1000</v>
      </c>
      <c r="M70" s="2"/>
      <c r="N70" s="6">
        <f t="shared" si="35"/>
        <v>-1</v>
      </c>
      <c r="O70" s="11"/>
      <c r="P70" s="7">
        <v>56736</v>
      </c>
      <c r="Q70" s="2"/>
      <c r="R70" s="6">
        <f t="shared" si="36"/>
        <v>0</v>
      </c>
      <c r="S70" s="2"/>
      <c r="T70" s="7">
        <v>43000</v>
      </c>
      <c r="U70" s="2"/>
      <c r="V70" s="6">
        <f t="shared" si="37"/>
        <v>0</v>
      </c>
      <c r="W70" s="2"/>
      <c r="X70" s="7">
        <f t="shared" si="38"/>
        <v>13736</v>
      </c>
      <c r="Y70" s="2"/>
      <c r="Z70" s="6">
        <f t="shared" si="39"/>
        <v>0.3194418604651163</v>
      </c>
    </row>
    <row r="71" spans="1:26" s="24" customFormat="1" hidden="1" outlineLevel="2" x14ac:dyDescent="0.25">
      <c r="A71" s="27"/>
      <c r="B71" s="11" t="str">
        <f>CONCATENATE("          ", "6372", " - ", "COMPUTER HARDWARE MAINTENANCE")</f>
        <v xml:space="preserve">          6372 - COMPUTER HARDWARE MAINTENANCE</v>
      </c>
      <c r="C71" s="11"/>
      <c r="D71" s="7"/>
      <c r="E71" s="2"/>
      <c r="F71" s="6">
        <f t="shared" si="32"/>
        <v>0</v>
      </c>
      <c r="G71" s="2"/>
      <c r="H71" s="7">
        <v>3750</v>
      </c>
      <c r="I71" s="2"/>
      <c r="J71" s="6">
        <f t="shared" si="33"/>
        <v>0</v>
      </c>
      <c r="K71" s="2"/>
      <c r="L71" s="7">
        <f t="shared" si="34"/>
        <v>-3750</v>
      </c>
      <c r="M71" s="2"/>
      <c r="N71" s="6">
        <f t="shared" si="35"/>
        <v>-1</v>
      </c>
      <c r="O71" s="11"/>
      <c r="P71" s="7"/>
      <c r="Q71" s="2"/>
      <c r="R71" s="6">
        <f t="shared" si="36"/>
        <v>0</v>
      </c>
      <c r="S71" s="2"/>
      <c r="T71" s="7">
        <v>11620</v>
      </c>
      <c r="U71" s="2"/>
      <c r="V71" s="6">
        <f t="shared" si="37"/>
        <v>0</v>
      </c>
      <c r="W71" s="2"/>
      <c r="X71" s="7">
        <f t="shared" si="38"/>
        <v>-11620</v>
      </c>
      <c r="Y71" s="2"/>
      <c r="Z71" s="6">
        <f t="shared" si="39"/>
        <v>-1</v>
      </c>
    </row>
    <row r="72" spans="1:26" s="24" customFormat="1" hidden="1" outlineLevel="2" x14ac:dyDescent="0.25">
      <c r="A72" s="27"/>
      <c r="B72" s="11" t="str">
        <f>CONCATENATE("          ", "6373", " - ", "MAINTENANCE CONTRACTS")</f>
        <v xml:space="preserve">          6373 - MAINTENANCE CONTRACTS</v>
      </c>
      <c r="C72" s="11"/>
      <c r="D72" s="7">
        <v>182.91</v>
      </c>
      <c r="E72" s="2"/>
      <c r="F72" s="6">
        <f t="shared" si="32"/>
        <v>0</v>
      </c>
      <c r="G72" s="2"/>
      <c r="H72" s="7">
        <v>200</v>
      </c>
      <c r="I72" s="2"/>
      <c r="J72" s="6">
        <f t="shared" si="33"/>
        <v>0</v>
      </c>
      <c r="K72" s="2"/>
      <c r="L72" s="7">
        <f t="shared" si="34"/>
        <v>-17.090000000000003</v>
      </c>
      <c r="M72" s="2"/>
      <c r="N72" s="6">
        <f t="shared" si="35"/>
        <v>-8.5450000000000012E-2</v>
      </c>
      <c r="O72" s="11"/>
      <c r="P72" s="7">
        <v>7223.04</v>
      </c>
      <c r="Q72" s="2"/>
      <c r="R72" s="6">
        <f t="shared" si="36"/>
        <v>0</v>
      </c>
      <c r="S72" s="2"/>
      <c r="T72" s="7">
        <v>800</v>
      </c>
      <c r="U72" s="2"/>
      <c r="V72" s="6">
        <f t="shared" si="37"/>
        <v>0</v>
      </c>
      <c r="W72" s="2"/>
      <c r="X72" s="7">
        <f t="shared" si="38"/>
        <v>6423.04</v>
      </c>
      <c r="Y72" s="2"/>
      <c r="Z72" s="6">
        <f t="shared" si="39"/>
        <v>8.0288000000000004</v>
      </c>
    </row>
    <row r="73" spans="1:26" s="24" customFormat="1" hidden="1" outlineLevel="2" x14ac:dyDescent="0.25">
      <c r="A73" s="27"/>
      <c r="B73" s="11" t="str">
        <f>CONCATENATE("          ", "6375", " - ", "OUTSIDE REPAIRS &amp; MAINTENANCE")</f>
        <v xml:space="preserve">          6375 - OUTSIDE REPAIRS &amp; MAINTENANCE</v>
      </c>
      <c r="C73" s="11"/>
      <c r="D73" s="7">
        <v>1007.89</v>
      </c>
      <c r="E73" s="2"/>
      <c r="F73" s="6">
        <f t="shared" si="32"/>
        <v>0</v>
      </c>
      <c r="G73" s="2"/>
      <c r="H73" s="7"/>
      <c r="I73" s="2"/>
      <c r="J73" s="6">
        <f t="shared" si="33"/>
        <v>0</v>
      </c>
      <c r="K73" s="2"/>
      <c r="L73" s="7">
        <f t="shared" si="34"/>
        <v>1007.89</v>
      </c>
      <c r="M73" s="2"/>
      <c r="N73" s="6">
        <f t="shared" si="35"/>
        <v>0</v>
      </c>
      <c r="O73" s="11"/>
      <c r="P73" s="7">
        <v>6022.52</v>
      </c>
      <c r="Q73" s="2"/>
      <c r="R73" s="6">
        <f t="shared" si="36"/>
        <v>0</v>
      </c>
      <c r="S73" s="2"/>
      <c r="T73" s="7"/>
      <c r="U73" s="2"/>
      <c r="V73" s="6">
        <f t="shared" si="37"/>
        <v>0</v>
      </c>
      <c r="W73" s="2"/>
      <c r="X73" s="7">
        <f t="shared" si="38"/>
        <v>6022.52</v>
      </c>
      <c r="Y73" s="2"/>
      <c r="Z73" s="6">
        <f t="shared" si="39"/>
        <v>0</v>
      </c>
    </row>
    <row r="74" spans="1:26" s="28" customFormat="1" outlineLevel="1" collapsed="1" x14ac:dyDescent="0.25">
      <c r="A74" s="29"/>
      <c r="B74" s="14" t="str">
        <f>CONCATENATE("     ","Services                                          ")</f>
        <v xml:space="preserve">     Services                                          </v>
      </c>
      <c r="C74" s="14"/>
      <c r="D74" s="1">
        <f>SUM(OSRRefD22_16x_0)</f>
        <v>4653.07</v>
      </c>
      <c r="E74" s="1"/>
      <c r="F74" s="5">
        <f t="shared" ref="F74:F76" si="40">IF(D$12=0,0,D74/D$12)</f>
        <v>0</v>
      </c>
      <c r="G74" s="1"/>
      <c r="H74" s="1">
        <f>SUM(OSRRefH22_16x_0)</f>
        <v>4300</v>
      </c>
      <c r="I74" s="1"/>
      <c r="J74" s="5">
        <f t="shared" ref="J74:J76" si="41">IF(H$12=0,0,H74/H$12)</f>
        <v>0</v>
      </c>
      <c r="K74" s="1"/>
      <c r="L74" s="1">
        <f t="shared" ref="L74:L76" si="42">+D74-H74</f>
        <v>353.06999999999971</v>
      </c>
      <c r="M74" s="1"/>
      <c r="N74" s="5">
        <f t="shared" ref="N74:N76" si="43">IF(H74=0,0,L74/H74)</f>
        <v>8.2109302325581321E-2</v>
      </c>
      <c r="O74" s="14"/>
      <c r="P74" s="1">
        <f>SUM(OSRRefP22_16x_0)</f>
        <v>22778.86</v>
      </c>
      <c r="Q74" s="1"/>
      <c r="R74" s="5">
        <f t="shared" ref="R74:R76" si="44">IF(P$12=0,0,P74/P$12)</f>
        <v>0</v>
      </c>
      <c r="S74" s="1"/>
      <c r="T74" s="1">
        <f>SUM(OSRRefT22_16x_0)</f>
        <v>17200</v>
      </c>
      <c r="U74" s="1"/>
      <c r="V74" s="5">
        <f t="shared" ref="V74:V76" si="45">IF(T$12=0,0,T74/T$12)</f>
        <v>0</v>
      </c>
      <c r="W74" s="1"/>
      <c r="X74" s="1">
        <f t="shared" ref="X74:X76" si="46">+P74-T74</f>
        <v>5578.8600000000006</v>
      </c>
      <c r="Y74" s="1"/>
      <c r="Z74" s="5">
        <f t="shared" ref="Z74:Z76" si="47">IF(T74=0,0,X74/T74)</f>
        <v>0.32435232558139537</v>
      </c>
    </row>
    <row r="75" spans="1:26" s="24" customFormat="1" hidden="1" outlineLevel="2" x14ac:dyDescent="0.25">
      <c r="A75" s="27"/>
      <c r="B75" s="11" t="str">
        <f>CONCATENATE("          ", "6282", " - ", "JANITORIAL/EXTERMINATOR EXPENS")</f>
        <v xml:space="preserve">          6282 - JANITORIAL/EXTERMINATOR EXPENS</v>
      </c>
      <c r="C75" s="11"/>
      <c r="D75" s="7">
        <v>532.80999999999995</v>
      </c>
      <c r="E75" s="2"/>
      <c r="F75" s="6">
        <f t="shared" si="40"/>
        <v>0</v>
      </c>
      <c r="G75" s="2"/>
      <c r="H75" s="7">
        <v>4300</v>
      </c>
      <c r="I75" s="2"/>
      <c r="J75" s="6">
        <f t="shared" si="41"/>
        <v>0</v>
      </c>
      <c r="K75" s="2"/>
      <c r="L75" s="7">
        <f t="shared" si="42"/>
        <v>-3767.19</v>
      </c>
      <c r="M75" s="2"/>
      <c r="N75" s="6">
        <f t="shared" si="43"/>
        <v>-0.87609069767441861</v>
      </c>
      <c r="O75" s="11"/>
      <c r="P75" s="7">
        <v>1237.08</v>
      </c>
      <c r="Q75" s="2"/>
      <c r="R75" s="6">
        <f t="shared" si="44"/>
        <v>0</v>
      </c>
      <c r="S75" s="2"/>
      <c r="T75" s="7">
        <v>17200</v>
      </c>
      <c r="U75" s="2"/>
      <c r="V75" s="6">
        <f t="shared" si="45"/>
        <v>0</v>
      </c>
      <c r="W75" s="2"/>
      <c r="X75" s="7">
        <f t="shared" si="46"/>
        <v>-15962.92</v>
      </c>
      <c r="Y75" s="2"/>
      <c r="Z75" s="6">
        <f t="shared" si="47"/>
        <v>-0.92807674418604647</v>
      </c>
    </row>
    <row r="76" spans="1:26" s="24" customFormat="1" hidden="1" outlineLevel="2" x14ac:dyDescent="0.25">
      <c r="A76" s="27"/>
      <c r="B76" s="11" t="str">
        <f>CONCATENATE("          ", "6285", " - ", "JANITORIAL SERVICES")</f>
        <v xml:space="preserve">          6285 - JANITORIAL SERVICES</v>
      </c>
      <c r="C76" s="11"/>
      <c r="D76" s="7">
        <v>4120.26</v>
      </c>
      <c r="E76" s="2"/>
      <c r="F76" s="6">
        <f t="shared" si="40"/>
        <v>0</v>
      </c>
      <c r="G76" s="2"/>
      <c r="H76" s="7"/>
      <c r="I76" s="2"/>
      <c r="J76" s="6">
        <f t="shared" si="41"/>
        <v>0</v>
      </c>
      <c r="K76" s="2"/>
      <c r="L76" s="7">
        <f t="shared" si="42"/>
        <v>4120.26</v>
      </c>
      <c r="M76" s="2"/>
      <c r="N76" s="6">
        <f t="shared" si="43"/>
        <v>0</v>
      </c>
      <c r="O76" s="11"/>
      <c r="P76" s="7">
        <v>21541.78</v>
      </c>
      <c r="Q76" s="2"/>
      <c r="R76" s="6">
        <f t="shared" si="44"/>
        <v>0</v>
      </c>
      <c r="S76" s="2"/>
      <c r="T76" s="7"/>
      <c r="U76" s="2"/>
      <c r="V76" s="6">
        <f t="shared" si="45"/>
        <v>0</v>
      </c>
      <c r="W76" s="2"/>
      <c r="X76" s="7">
        <f t="shared" si="46"/>
        <v>21541.78</v>
      </c>
      <c r="Y76" s="2"/>
      <c r="Z76" s="6">
        <f t="shared" si="47"/>
        <v>0</v>
      </c>
    </row>
    <row r="77" spans="1:26" s="28" customFormat="1" outlineLevel="1" collapsed="1" x14ac:dyDescent="0.25">
      <c r="A77" s="29"/>
      <c r="B77" s="14" t="str">
        <f>CONCATENATE("     ","Subscriptions &amp; Dues                              ")</f>
        <v xml:space="preserve">     Subscriptions &amp; Dues                              </v>
      </c>
      <c r="C77" s="14"/>
      <c r="D77" s="1">
        <f>SUM(OSRRefD22_17x_0)</f>
        <v>0</v>
      </c>
      <c r="E77" s="1"/>
      <c r="F77" s="5">
        <f t="shared" ref="F77:F85" si="48">IF(D$12=0,0,D77/D$12)</f>
        <v>0</v>
      </c>
      <c r="G77" s="1"/>
      <c r="H77" s="1">
        <f>SUM(OSRRefH22_17x_0)</f>
        <v>1000</v>
      </c>
      <c r="I77" s="1"/>
      <c r="J77" s="5">
        <f t="shared" ref="J77:J85" si="49">IF(H$12=0,0,H77/H$12)</f>
        <v>0</v>
      </c>
      <c r="K77" s="1"/>
      <c r="L77" s="1">
        <f t="shared" ref="L77:L85" si="50">+D77-H77</f>
        <v>-1000</v>
      </c>
      <c r="M77" s="1"/>
      <c r="N77" s="5">
        <f t="shared" ref="N77:N85" si="51">IF(H77=0,0,L77/H77)</f>
        <v>-1</v>
      </c>
      <c r="O77" s="14"/>
      <c r="P77" s="1">
        <f>SUM(OSRRefP22_17x_0)</f>
        <v>-120</v>
      </c>
      <c r="Q77" s="1"/>
      <c r="R77" s="5">
        <f t="shared" ref="R77:R85" si="52">IF(P$12=0,0,P77/P$12)</f>
        <v>0</v>
      </c>
      <c r="S77" s="1"/>
      <c r="T77" s="1">
        <f>SUM(OSRRefT22_17x_0)</f>
        <v>2000</v>
      </c>
      <c r="U77" s="1"/>
      <c r="V77" s="5">
        <f t="shared" ref="V77:V85" si="53">IF(T$12=0,0,T77/T$12)</f>
        <v>0</v>
      </c>
      <c r="W77" s="1"/>
      <c r="X77" s="1">
        <f t="shared" ref="X77:X85" si="54">+P77-T77</f>
        <v>-2120</v>
      </c>
      <c r="Y77" s="1"/>
      <c r="Z77" s="5">
        <f t="shared" ref="Z77:Z85" si="55">IF(T77=0,0,X77/T77)</f>
        <v>-1.06</v>
      </c>
    </row>
    <row r="78" spans="1:26" s="24" customFormat="1" hidden="1" outlineLevel="2" x14ac:dyDescent="0.25">
      <c r="A78" s="27"/>
      <c r="B78" s="11" t="str">
        <f>CONCATENATE("          ", "6258", " - ", "MEMBERSHIP DUES")</f>
        <v xml:space="preserve">          6258 - MEMBERSHIP DUES</v>
      </c>
      <c r="C78" s="11"/>
      <c r="D78" s="7"/>
      <c r="E78" s="2"/>
      <c r="F78" s="6">
        <f t="shared" si="48"/>
        <v>0</v>
      </c>
      <c r="G78" s="2"/>
      <c r="H78" s="7">
        <v>1000</v>
      </c>
      <c r="I78" s="2"/>
      <c r="J78" s="6">
        <f t="shared" si="49"/>
        <v>0</v>
      </c>
      <c r="K78" s="2"/>
      <c r="L78" s="7">
        <f t="shared" si="50"/>
        <v>-1000</v>
      </c>
      <c r="M78" s="2"/>
      <c r="N78" s="6">
        <f t="shared" si="51"/>
        <v>-1</v>
      </c>
      <c r="O78" s="11"/>
      <c r="P78" s="7">
        <v>-120</v>
      </c>
      <c r="Q78" s="2"/>
      <c r="R78" s="6">
        <f t="shared" si="52"/>
        <v>0</v>
      </c>
      <c r="S78" s="2"/>
      <c r="T78" s="7">
        <v>2000</v>
      </c>
      <c r="U78" s="2"/>
      <c r="V78" s="6">
        <f t="shared" si="53"/>
        <v>0</v>
      </c>
      <c r="W78" s="2"/>
      <c r="X78" s="7">
        <f t="shared" si="54"/>
        <v>-2120</v>
      </c>
      <c r="Y78" s="2"/>
      <c r="Z78" s="6">
        <f t="shared" si="55"/>
        <v>-1.06</v>
      </c>
    </row>
    <row r="79" spans="1:26" s="28" customFormat="1" outlineLevel="1" collapsed="1" x14ac:dyDescent="0.25">
      <c r="A79" s="29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SUM(OSRRefD22_18x_0)</f>
        <v>5953.17</v>
      </c>
      <c r="E79" s="1"/>
      <c r="F79" s="5">
        <f t="shared" si="48"/>
        <v>0</v>
      </c>
      <c r="G79" s="1"/>
      <c r="H79" s="1">
        <f>SUM(OSRRefH22_18x_0)</f>
        <v>5500</v>
      </c>
      <c r="I79" s="1"/>
      <c r="J79" s="5">
        <f t="shared" si="49"/>
        <v>0</v>
      </c>
      <c r="K79" s="1"/>
      <c r="L79" s="1">
        <f t="shared" si="50"/>
        <v>453.17000000000007</v>
      </c>
      <c r="M79" s="1"/>
      <c r="N79" s="5">
        <f t="shared" si="51"/>
        <v>8.239454545454547E-2</v>
      </c>
      <c r="O79" s="14"/>
      <c r="P79" s="1">
        <f>SUM(OSRRefP22_18x_0)</f>
        <v>13397.98</v>
      </c>
      <c r="Q79" s="1"/>
      <c r="R79" s="5">
        <f t="shared" si="52"/>
        <v>0</v>
      </c>
      <c r="S79" s="1"/>
      <c r="T79" s="1">
        <f>SUM(OSRRefT22_18x_0)</f>
        <v>21400</v>
      </c>
      <c r="U79" s="1"/>
      <c r="V79" s="5">
        <f t="shared" si="53"/>
        <v>0</v>
      </c>
      <c r="W79" s="1"/>
      <c r="X79" s="1">
        <f t="shared" si="54"/>
        <v>-8002.02</v>
      </c>
      <c r="Y79" s="1"/>
      <c r="Z79" s="5">
        <f t="shared" si="55"/>
        <v>-0.37392616822429908</v>
      </c>
    </row>
    <row r="80" spans="1:26" s="24" customFormat="1" hidden="1" outlineLevel="2" x14ac:dyDescent="0.25">
      <c r="A80" s="27"/>
      <c r="B80" s="11" t="str">
        <f>CONCATENATE("          ", "6234", " - ", "EXPENDABLE SUPPLIES &amp; EQUIPMEN")</f>
        <v xml:space="preserve">          6234 - EXPENDABLE SUPPLIES &amp; EQUIPMEN</v>
      </c>
      <c r="C80" s="11"/>
      <c r="D80" s="7">
        <v>1194.8900000000001</v>
      </c>
      <c r="E80" s="2"/>
      <c r="F80" s="6">
        <f t="shared" si="48"/>
        <v>0</v>
      </c>
      <c r="G80" s="2"/>
      <c r="H80" s="7">
        <v>300</v>
      </c>
      <c r="I80" s="2"/>
      <c r="J80" s="6">
        <f t="shared" si="49"/>
        <v>0</v>
      </c>
      <c r="K80" s="2"/>
      <c r="L80" s="7">
        <f t="shared" si="50"/>
        <v>894.8900000000001</v>
      </c>
      <c r="M80" s="2"/>
      <c r="N80" s="6">
        <f t="shared" si="51"/>
        <v>2.982966666666667</v>
      </c>
      <c r="O80" s="11"/>
      <c r="P80" s="7">
        <v>1194.8900000000001</v>
      </c>
      <c r="Q80" s="2"/>
      <c r="R80" s="6">
        <f t="shared" si="52"/>
        <v>0</v>
      </c>
      <c r="S80" s="2"/>
      <c r="T80" s="7">
        <v>600</v>
      </c>
      <c r="U80" s="2"/>
      <c r="V80" s="6">
        <f t="shared" si="53"/>
        <v>0</v>
      </c>
      <c r="W80" s="2"/>
      <c r="X80" s="7">
        <f t="shared" si="54"/>
        <v>594.8900000000001</v>
      </c>
      <c r="Y80" s="2"/>
      <c r="Z80" s="6">
        <f t="shared" si="55"/>
        <v>0.99148333333333349</v>
      </c>
    </row>
    <row r="81" spans="1:26" s="24" customFormat="1" hidden="1" outlineLevel="2" x14ac:dyDescent="0.25">
      <c r="A81" s="27"/>
      <c r="B81" s="11" t="str">
        <f>CONCATENATE("          ", "6235", " - ", "COVID-19 EXPENSES")</f>
        <v xml:space="preserve">          6235 - COVID-19 EXPENSES</v>
      </c>
      <c r="C81" s="11"/>
      <c r="D81" s="7"/>
      <c r="E81" s="2"/>
      <c r="F81" s="6">
        <f t="shared" si="48"/>
        <v>0</v>
      </c>
      <c r="G81" s="2"/>
      <c r="H81" s="7">
        <v>100</v>
      </c>
      <c r="I81" s="2"/>
      <c r="J81" s="6">
        <f t="shared" si="49"/>
        <v>0</v>
      </c>
      <c r="K81" s="2"/>
      <c r="L81" s="7">
        <f t="shared" si="50"/>
        <v>-100</v>
      </c>
      <c r="M81" s="2"/>
      <c r="N81" s="6">
        <f t="shared" si="51"/>
        <v>-1</v>
      </c>
      <c r="O81" s="11"/>
      <c r="P81" s="7">
        <v>3430.32</v>
      </c>
      <c r="Q81" s="2"/>
      <c r="R81" s="6">
        <f t="shared" si="52"/>
        <v>0</v>
      </c>
      <c r="S81" s="2"/>
      <c r="T81" s="7">
        <v>400</v>
      </c>
      <c r="U81" s="2"/>
      <c r="V81" s="6">
        <f t="shared" si="53"/>
        <v>0</v>
      </c>
      <c r="W81" s="2"/>
      <c r="X81" s="7">
        <f t="shared" si="54"/>
        <v>3030.32</v>
      </c>
      <c r="Y81" s="2"/>
      <c r="Z81" s="6">
        <f t="shared" si="55"/>
        <v>7.5758000000000001</v>
      </c>
    </row>
    <row r="82" spans="1:26" s="24" customFormat="1" hidden="1" outlineLevel="2" x14ac:dyDescent="0.25">
      <c r="A82" s="27"/>
      <c r="B82" s="11" t="str">
        <f>CONCATENATE("          ", "6237", " - ", "JANITORIAL SUPPLIES")</f>
        <v xml:space="preserve">          6237 - JANITORIAL SUPPLIES</v>
      </c>
      <c r="C82" s="11"/>
      <c r="D82" s="7">
        <v>1303.78</v>
      </c>
      <c r="E82" s="2"/>
      <c r="F82" s="6">
        <f t="shared" si="48"/>
        <v>0</v>
      </c>
      <c r="G82" s="2"/>
      <c r="H82" s="7"/>
      <c r="I82" s="2"/>
      <c r="J82" s="6">
        <f t="shared" si="49"/>
        <v>0</v>
      </c>
      <c r="K82" s="2"/>
      <c r="L82" s="7">
        <f t="shared" si="50"/>
        <v>1303.78</v>
      </c>
      <c r="M82" s="2"/>
      <c r="N82" s="6">
        <f t="shared" si="51"/>
        <v>0</v>
      </c>
      <c r="O82" s="11"/>
      <c r="P82" s="7">
        <v>3299.3</v>
      </c>
      <c r="Q82" s="2"/>
      <c r="R82" s="6">
        <f t="shared" si="52"/>
        <v>0</v>
      </c>
      <c r="S82" s="2"/>
      <c r="T82" s="7"/>
      <c r="U82" s="2"/>
      <c r="V82" s="6">
        <f t="shared" si="53"/>
        <v>0</v>
      </c>
      <c r="W82" s="2"/>
      <c r="X82" s="7">
        <f t="shared" si="54"/>
        <v>3299.3</v>
      </c>
      <c r="Y82" s="2"/>
      <c r="Z82" s="6">
        <f t="shared" si="55"/>
        <v>0</v>
      </c>
    </row>
    <row r="83" spans="1:26" s="24" customFormat="1" hidden="1" outlineLevel="2" x14ac:dyDescent="0.25">
      <c r="A83" s="27"/>
      <c r="B83" s="11" t="str">
        <f>CONCATENATE("          ", "6241", " - ", "OFFICE EXPENSE")</f>
        <v xml:space="preserve">          6241 - OFFICE EXPENSE</v>
      </c>
      <c r="C83" s="11"/>
      <c r="D83" s="7">
        <v>589.67999999999995</v>
      </c>
      <c r="E83" s="2"/>
      <c r="F83" s="6">
        <f t="shared" si="48"/>
        <v>0</v>
      </c>
      <c r="G83" s="2"/>
      <c r="H83" s="7">
        <v>100</v>
      </c>
      <c r="I83" s="2"/>
      <c r="J83" s="6">
        <f t="shared" si="49"/>
        <v>0</v>
      </c>
      <c r="K83" s="2"/>
      <c r="L83" s="7">
        <f t="shared" si="50"/>
        <v>489.67999999999995</v>
      </c>
      <c r="M83" s="2"/>
      <c r="N83" s="6">
        <f t="shared" si="51"/>
        <v>4.8967999999999998</v>
      </c>
      <c r="O83" s="11"/>
      <c r="P83" s="7">
        <v>693.46</v>
      </c>
      <c r="Q83" s="2"/>
      <c r="R83" s="6">
        <f t="shared" si="52"/>
        <v>0</v>
      </c>
      <c r="S83" s="2"/>
      <c r="T83" s="7">
        <v>400</v>
      </c>
      <c r="U83" s="2"/>
      <c r="V83" s="6">
        <f t="shared" si="53"/>
        <v>0</v>
      </c>
      <c r="W83" s="2"/>
      <c r="X83" s="7">
        <f t="shared" si="54"/>
        <v>293.46000000000004</v>
      </c>
      <c r="Y83" s="2"/>
      <c r="Z83" s="6">
        <f t="shared" si="55"/>
        <v>0.73365000000000014</v>
      </c>
    </row>
    <row r="84" spans="1:26" s="24" customFormat="1" hidden="1" outlineLevel="2" x14ac:dyDescent="0.25">
      <c r="A84" s="27"/>
      <c r="B84" s="11" t="str">
        <f>CONCATENATE("          ", "6245", " - ", "PRINTING")</f>
        <v xml:space="preserve">          6245 - PRINTING</v>
      </c>
      <c r="C84" s="11"/>
      <c r="D84" s="7"/>
      <c r="E84" s="2"/>
      <c r="F84" s="6">
        <f t="shared" si="48"/>
        <v>0</v>
      </c>
      <c r="G84" s="2"/>
      <c r="H84" s="7"/>
      <c r="I84" s="2"/>
      <c r="J84" s="6">
        <f t="shared" si="49"/>
        <v>0</v>
      </c>
      <c r="K84" s="2"/>
      <c r="L84" s="7">
        <f t="shared" si="50"/>
        <v>0</v>
      </c>
      <c r="M84" s="2"/>
      <c r="N84" s="6">
        <f t="shared" si="51"/>
        <v>0</v>
      </c>
      <c r="O84" s="11"/>
      <c r="P84" s="7">
        <v>335.32</v>
      </c>
      <c r="Q84" s="2"/>
      <c r="R84" s="6">
        <f t="shared" si="52"/>
        <v>0</v>
      </c>
      <c r="S84" s="2"/>
      <c r="T84" s="7"/>
      <c r="U84" s="2"/>
      <c r="V84" s="6">
        <f t="shared" si="53"/>
        <v>0</v>
      </c>
      <c r="W84" s="2"/>
      <c r="X84" s="7">
        <f t="shared" si="54"/>
        <v>335.32</v>
      </c>
      <c r="Y84" s="2"/>
      <c r="Z84" s="6">
        <f t="shared" si="55"/>
        <v>0</v>
      </c>
    </row>
    <row r="85" spans="1:26" s="24" customFormat="1" hidden="1" outlineLevel="2" x14ac:dyDescent="0.25">
      <c r="A85" s="27"/>
      <c r="B85" s="11" t="str">
        <f>CONCATENATE("          ", "6247", " - ", "STORE SUPPLIES")</f>
        <v xml:space="preserve">          6247 - STORE SUPPLIES</v>
      </c>
      <c r="C85" s="11"/>
      <c r="D85" s="7">
        <v>2864.82</v>
      </c>
      <c r="E85" s="2"/>
      <c r="F85" s="6">
        <f t="shared" si="48"/>
        <v>0</v>
      </c>
      <c r="G85" s="2"/>
      <c r="H85" s="7">
        <v>5000</v>
      </c>
      <c r="I85" s="2"/>
      <c r="J85" s="6">
        <f t="shared" si="49"/>
        <v>0</v>
      </c>
      <c r="K85" s="2"/>
      <c r="L85" s="7">
        <f t="shared" si="50"/>
        <v>-2135.1799999999998</v>
      </c>
      <c r="M85" s="2"/>
      <c r="N85" s="6">
        <f t="shared" si="51"/>
        <v>-0.42703599999999997</v>
      </c>
      <c r="O85" s="11"/>
      <c r="P85" s="7">
        <v>4444.6899999999996</v>
      </c>
      <c r="Q85" s="2"/>
      <c r="R85" s="6">
        <f t="shared" si="52"/>
        <v>0</v>
      </c>
      <c r="S85" s="2"/>
      <c r="T85" s="7">
        <v>20000</v>
      </c>
      <c r="U85" s="2"/>
      <c r="V85" s="6">
        <f t="shared" si="53"/>
        <v>0</v>
      </c>
      <c r="W85" s="2"/>
      <c r="X85" s="7">
        <f t="shared" si="54"/>
        <v>-15555.310000000001</v>
      </c>
      <c r="Y85" s="2"/>
      <c r="Z85" s="6">
        <f t="shared" si="55"/>
        <v>-0.77776550000000011</v>
      </c>
    </row>
    <row r="86" spans="1:26" s="28" customFormat="1" outlineLevel="1" collapsed="1" x14ac:dyDescent="0.25">
      <c r="A86" s="29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SUM(OSRRefD22_19x_0)</f>
        <v>739.5</v>
      </c>
      <c r="E86" s="1"/>
      <c r="F86" s="5">
        <f t="shared" ref="F86:F92" si="56">IF(D$12=0,0,D86/D$12)</f>
        <v>0</v>
      </c>
      <c r="G86" s="1"/>
      <c r="H86" s="1">
        <f>SUM(OSRRefH22_19x_0)</f>
        <v>600</v>
      </c>
      <c r="I86" s="1"/>
      <c r="J86" s="5">
        <f t="shared" ref="J86:J92" si="57">IF(H$12=0,0,H86/H$12)</f>
        <v>0</v>
      </c>
      <c r="K86" s="1"/>
      <c r="L86" s="1">
        <f t="shared" ref="L86:L92" si="58">+D86-H86</f>
        <v>139.5</v>
      </c>
      <c r="M86" s="1"/>
      <c r="N86" s="5">
        <f t="shared" ref="N86:N92" si="59">IF(H86=0,0,L86/H86)</f>
        <v>0.23250000000000001</v>
      </c>
      <c r="O86" s="14"/>
      <c r="P86" s="1">
        <f>SUM(OSRRefP22_19x_0)</f>
        <v>2384.8000000000002</v>
      </c>
      <c r="Q86" s="1"/>
      <c r="R86" s="5">
        <f t="shared" ref="R86:R92" si="60">IF(P$12=0,0,P86/P$12)</f>
        <v>0</v>
      </c>
      <c r="S86" s="1"/>
      <c r="T86" s="1">
        <f>SUM(OSRRefT22_19x_0)</f>
        <v>2400</v>
      </c>
      <c r="U86" s="1"/>
      <c r="V86" s="5">
        <f t="shared" ref="V86:V92" si="61">IF(T$12=0,0,T86/T$12)</f>
        <v>0</v>
      </c>
      <c r="W86" s="1"/>
      <c r="X86" s="1">
        <f t="shared" ref="X86:X92" si="62">+P86-T86</f>
        <v>-15.199999999999818</v>
      </c>
      <c r="Y86" s="1"/>
      <c r="Z86" s="5">
        <f t="shared" ref="Z86:Z92" si="63">IF(T86=0,0,X86/T86)</f>
        <v>-6.3333333333332577E-3</v>
      </c>
    </row>
    <row r="87" spans="1:26" s="24" customFormat="1" hidden="1" outlineLevel="2" x14ac:dyDescent="0.25">
      <c r="A87" s="27"/>
      <c r="B87" s="11" t="str">
        <f>CONCATENATE("          ", "6309", " - ", "TELEPHONE")</f>
        <v xml:space="preserve">          6309 - TELEPHONE</v>
      </c>
      <c r="C87" s="11"/>
      <c r="D87" s="7">
        <v>739.5</v>
      </c>
      <c r="E87" s="2"/>
      <c r="F87" s="6">
        <f t="shared" si="56"/>
        <v>0</v>
      </c>
      <c r="G87" s="2"/>
      <c r="H87" s="7">
        <v>600</v>
      </c>
      <c r="I87" s="2"/>
      <c r="J87" s="6">
        <f t="shared" si="57"/>
        <v>0</v>
      </c>
      <c r="K87" s="2"/>
      <c r="L87" s="7">
        <f t="shared" si="58"/>
        <v>139.5</v>
      </c>
      <c r="M87" s="2"/>
      <c r="N87" s="6">
        <f t="shared" si="59"/>
        <v>0.23250000000000001</v>
      </c>
      <c r="O87" s="11"/>
      <c r="P87" s="7">
        <v>2384.8000000000002</v>
      </c>
      <c r="Q87" s="2"/>
      <c r="R87" s="6">
        <f t="shared" si="60"/>
        <v>0</v>
      </c>
      <c r="S87" s="2"/>
      <c r="T87" s="7">
        <v>2400</v>
      </c>
      <c r="U87" s="2"/>
      <c r="V87" s="6">
        <f t="shared" si="61"/>
        <v>0</v>
      </c>
      <c r="W87" s="2"/>
      <c r="X87" s="7">
        <f t="shared" si="62"/>
        <v>-15.199999999999818</v>
      </c>
      <c r="Y87" s="2"/>
      <c r="Z87" s="6">
        <f t="shared" si="63"/>
        <v>-6.3333333333332577E-3</v>
      </c>
    </row>
    <row r="88" spans="1:26" s="28" customFormat="1" outlineLevel="1" collapsed="1" x14ac:dyDescent="0.25">
      <c r="A88" s="29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SUM(OSRRefD22_20x_0)</f>
        <v>0</v>
      </c>
      <c r="E88" s="1"/>
      <c r="F88" s="5">
        <f t="shared" si="56"/>
        <v>0</v>
      </c>
      <c r="G88" s="1"/>
      <c r="H88" s="1">
        <f>SUM(OSRRefH22_20x_0)</f>
        <v>0</v>
      </c>
      <c r="I88" s="1"/>
      <c r="J88" s="5">
        <f t="shared" si="57"/>
        <v>0</v>
      </c>
      <c r="K88" s="1"/>
      <c r="L88" s="1">
        <f t="shared" si="58"/>
        <v>0</v>
      </c>
      <c r="M88" s="1"/>
      <c r="N88" s="5">
        <f t="shared" si="59"/>
        <v>0</v>
      </c>
      <c r="O88" s="14"/>
      <c r="P88" s="1">
        <f>SUM(OSRRefP22_20x_0)</f>
        <v>595</v>
      </c>
      <c r="Q88" s="1"/>
      <c r="R88" s="5">
        <f t="shared" si="60"/>
        <v>0</v>
      </c>
      <c r="S88" s="1"/>
      <c r="T88" s="1">
        <f>SUM(OSRRefT22_20x_0)</f>
        <v>0</v>
      </c>
      <c r="U88" s="1"/>
      <c r="V88" s="5">
        <f t="shared" si="61"/>
        <v>0</v>
      </c>
      <c r="W88" s="1"/>
      <c r="X88" s="1">
        <f t="shared" si="62"/>
        <v>595</v>
      </c>
      <c r="Y88" s="1"/>
      <c r="Z88" s="5">
        <f t="shared" si="63"/>
        <v>0</v>
      </c>
    </row>
    <row r="89" spans="1:26" s="24" customFormat="1" hidden="1" outlineLevel="2" x14ac:dyDescent="0.25">
      <c r="A89" s="27"/>
      <c r="B89" s="11" t="str">
        <f>CONCATENATE("          ", "6376", " - ", "TRAINING")</f>
        <v xml:space="preserve">          6376 - TRAINING</v>
      </c>
      <c r="C89" s="11"/>
      <c r="D89" s="7"/>
      <c r="E89" s="2"/>
      <c r="F89" s="6">
        <f t="shared" si="56"/>
        <v>0</v>
      </c>
      <c r="G89" s="2"/>
      <c r="H89" s="7"/>
      <c r="I89" s="2"/>
      <c r="J89" s="6">
        <f t="shared" si="57"/>
        <v>0</v>
      </c>
      <c r="K89" s="2"/>
      <c r="L89" s="7">
        <f t="shared" si="58"/>
        <v>0</v>
      </c>
      <c r="M89" s="2"/>
      <c r="N89" s="6">
        <f t="shared" si="59"/>
        <v>0</v>
      </c>
      <c r="O89" s="11"/>
      <c r="P89" s="7">
        <v>595</v>
      </c>
      <c r="Q89" s="2"/>
      <c r="R89" s="6">
        <f t="shared" si="60"/>
        <v>0</v>
      </c>
      <c r="S89" s="2"/>
      <c r="T89" s="7"/>
      <c r="U89" s="2"/>
      <c r="V89" s="6">
        <f t="shared" si="61"/>
        <v>0</v>
      </c>
      <c r="W89" s="2"/>
      <c r="X89" s="7">
        <f t="shared" si="62"/>
        <v>595</v>
      </c>
      <c r="Y89" s="2"/>
      <c r="Z89" s="6">
        <f t="shared" si="63"/>
        <v>0</v>
      </c>
    </row>
    <row r="90" spans="1:26" s="28" customFormat="1" outlineLevel="1" collapsed="1" x14ac:dyDescent="0.25">
      <c r="A90" s="29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SUM(OSRRefD22_21x_0)</f>
        <v>50</v>
      </c>
      <c r="E90" s="1"/>
      <c r="F90" s="5">
        <f t="shared" si="56"/>
        <v>0</v>
      </c>
      <c r="G90" s="1"/>
      <c r="H90" s="1">
        <f>SUM(OSRRefH22_21x_0)</f>
        <v>125</v>
      </c>
      <c r="I90" s="1"/>
      <c r="J90" s="5">
        <f t="shared" si="57"/>
        <v>0</v>
      </c>
      <c r="K90" s="1"/>
      <c r="L90" s="1">
        <f t="shared" si="58"/>
        <v>-75</v>
      </c>
      <c r="M90" s="1"/>
      <c r="N90" s="5">
        <f t="shared" si="59"/>
        <v>-0.6</v>
      </c>
      <c r="O90" s="14"/>
      <c r="P90" s="1">
        <f>SUM(OSRRefP22_21x_0)</f>
        <v>545</v>
      </c>
      <c r="Q90" s="1"/>
      <c r="R90" s="5">
        <f t="shared" si="60"/>
        <v>0</v>
      </c>
      <c r="S90" s="1"/>
      <c r="T90" s="1">
        <f>SUM(OSRRefT22_21x_0)</f>
        <v>500</v>
      </c>
      <c r="U90" s="1"/>
      <c r="V90" s="5">
        <f t="shared" si="61"/>
        <v>0</v>
      </c>
      <c r="W90" s="1"/>
      <c r="X90" s="1">
        <f t="shared" si="62"/>
        <v>45</v>
      </c>
      <c r="Y90" s="1"/>
      <c r="Z90" s="5">
        <f t="shared" si="63"/>
        <v>0.09</v>
      </c>
    </row>
    <row r="91" spans="1:26" s="24" customFormat="1" hidden="1" outlineLevel="2" x14ac:dyDescent="0.25">
      <c r="A91" s="27"/>
      <c r="B91" s="11" t="str">
        <f>CONCATENATE("          ", "6292", " - ", "TRAVEL/CONFERENCE")</f>
        <v xml:space="preserve">          6292 - TRAVEL/CONFERENCE</v>
      </c>
      <c r="C91" s="11"/>
      <c r="D91" s="7"/>
      <c r="E91" s="2"/>
      <c r="F91" s="6">
        <f t="shared" si="56"/>
        <v>0</v>
      </c>
      <c r="G91" s="2"/>
      <c r="H91" s="7">
        <v>125</v>
      </c>
      <c r="I91" s="2"/>
      <c r="J91" s="6">
        <f t="shared" si="57"/>
        <v>0</v>
      </c>
      <c r="K91" s="2"/>
      <c r="L91" s="7">
        <f t="shared" si="58"/>
        <v>-125</v>
      </c>
      <c r="M91" s="2"/>
      <c r="N91" s="6">
        <f t="shared" si="59"/>
        <v>-1</v>
      </c>
      <c r="O91" s="11"/>
      <c r="P91" s="7">
        <v>495</v>
      </c>
      <c r="Q91" s="2"/>
      <c r="R91" s="6">
        <f t="shared" si="60"/>
        <v>0</v>
      </c>
      <c r="S91" s="2"/>
      <c r="T91" s="7">
        <v>500</v>
      </c>
      <c r="U91" s="2"/>
      <c r="V91" s="6">
        <f t="shared" si="61"/>
        <v>0</v>
      </c>
      <c r="W91" s="2"/>
      <c r="X91" s="7">
        <f t="shared" si="62"/>
        <v>-5</v>
      </c>
      <c r="Y91" s="2"/>
      <c r="Z91" s="6">
        <f t="shared" si="63"/>
        <v>-0.01</v>
      </c>
    </row>
    <row r="92" spans="1:26" s="24" customFormat="1" hidden="1" outlineLevel="2" x14ac:dyDescent="0.25">
      <c r="A92" s="27"/>
      <c r="B92" s="11" t="str">
        <f>CONCATENATE("          ", "6298", " - ", "VEHICLE MILEAGE")</f>
        <v xml:space="preserve">          6298 - VEHICLE MILEAGE</v>
      </c>
      <c r="C92" s="11"/>
      <c r="D92" s="7">
        <v>50</v>
      </c>
      <c r="E92" s="2"/>
      <c r="F92" s="6">
        <f t="shared" si="56"/>
        <v>0</v>
      </c>
      <c r="G92" s="2"/>
      <c r="H92" s="7"/>
      <c r="I92" s="2"/>
      <c r="J92" s="6">
        <f t="shared" si="57"/>
        <v>0</v>
      </c>
      <c r="K92" s="2"/>
      <c r="L92" s="7">
        <f t="shared" si="58"/>
        <v>50</v>
      </c>
      <c r="M92" s="2"/>
      <c r="N92" s="6">
        <f t="shared" si="59"/>
        <v>0</v>
      </c>
      <c r="O92" s="11"/>
      <c r="P92" s="7">
        <v>50</v>
      </c>
      <c r="Q92" s="2"/>
      <c r="R92" s="6">
        <f t="shared" si="60"/>
        <v>0</v>
      </c>
      <c r="S92" s="2"/>
      <c r="T92" s="7"/>
      <c r="U92" s="2"/>
      <c r="V92" s="6">
        <f t="shared" si="61"/>
        <v>0</v>
      </c>
      <c r="W92" s="2"/>
      <c r="X92" s="7">
        <f t="shared" si="62"/>
        <v>50</v>
      </c>
      <c r="Y92" s="2"/>
      <c r="Z92" s="6">
        <f t="shared" si="63"/>
        <v>0</v>
      </c>
    </row>
    <row r="93" spans="1:26" s="28" customFormat="1" outlineLevel="1" collapsed="1" x14ac:dyDescent="0.25">
      <c r="A93" s="29"/>
      <c r="B93" s="14" t="str">
        <f>CONCATENATE("     ","Utilities                                         ")</f>
        <v xml:space="preserve">     Utilities                                         </v>
      </c>
      <c r="C93" s="14"/>
      <c r="D93" s="1">
        <f>SUM(OSRRefD22_22x_0)</f>
        <v>6000</v>
      </c>
      <c r="E93" s="1"/>
      <c r="F93" s="5">
        <f t="shared" ref="F93:F94" si="64">IF(D$12=0,0,D93/D$12)</f>
        <v>0</v>
      </c>
      <c r="G93" s="1"/>
      <c r="H93" s="1">
        <f>SUM(OSRRefH22_22x_0)</f>
        <v>6000</v>
      </c>
      <c r="I93" s="1"/>
      <c r="J93" s="5">
        <f t="shared" ref="J93:J94" si="65">IF(H$12=0,0,H93/H$12)</f>
        <v>0</v>
      </c>
      <c r="K93" s="1"/>
      <c r="L93" s="1">
        <f t="shared" ref="L93:L94" si="66">+D93-H93</f>
        <v>0</v>
      </c>
      <c r="M93" s="1"/>
      <c r="N93" s="5">
        <f t="shared" ref="N93:N94" si="67">IF(H93=0,0,L93/H93)</f>
        <v>0</v>
      </c>
      <c r="O93" s="14"/>
      <c r="P93" s="1">
        <f>SUM(OSRRefP22_22x_0)</f>
        <v>24000</v>
      </c>
      <c r="Q93" s="1"/>
      <c r="R93" s="5">
        <f t="shared" ref="R93:R94" si="68">IF(P$12=0,0,P93/P$12)</f>
        <v>0</v>
      </c>
      <c r="S93" s="1"/>
      <c r="T93" s="1">
        <f>SUM(OSRRefT22_22x_0)</f>
        <v>24000</v>
      </c>
      <c r="U93" s="1"/>
      <c r="V93" s="5">
        <f t="shared" ref="V93:V94" si="69">IF(T$12=0,0,T93/T$12)</f>
        <v>0</v>
      </c>
      <c r="W93" s="1"/>
      <c r="X93" s="1">
        <f t="shared" ref="X93:X94" si="70">+P93-T93</f>
        <v>0</v>
      </c>
      <c r="Y93" s="1"/>
      <c r="Z93" s="5">
        <f t="shared" ref="Z93:Z94" si="71">IF(T93=0,0,X93/T93)</f>
        <v>0</v>
      </c>
    </row>
    <row r="94" spans="1:26" s="24" customFormat="1" hidden="1" outlineLevel="2" x14ac:dyDescent="0.25">
      <c r="A94" s="27"/>
      <c r="B94" s="11" t="str">
        <f>CONCATENATE("          ", "6274", " - ", "UTILITIES")</f>
        <v xml:space="preserve">          6274 - UTILITIES</v>
      </c>
      <c r="C94" s="11"/>
      <c r="D94" s="7">
        <v>6000</v>
      </c>
      <c r="E94" s="2"/>
      <c r="F94" s="6">
        <f t="shared" si="64"/>
        <v>0</v>
      </c>
      <c r="G94" s="2"/>
      <c r="H94" s="7">
        <v>6000</v>
      </c>
      <c r="I94" s="2"/>
      <c r="J94" s="6">
        <f t="shared" si="65"/>
        <v>0</v>
      </c>
      <c r="K94" s="2"/>
      <c r="L94" s="7">
        <f t="shared" si="66"/>
        <v>0</v>
      </c>
      <c r="M94" s="2"/>
      <c r="N94" s="6">
        <f t="shared" si="67"/>
        <v>0</v>
      </c>
      <c r="O94" s="11"/>
      <c r="P94" s="7">
        <v>24000</v>
      </c>
      <c r="Q94" s="2"/>
      <c r="R94" s="6">
        <f t="shared" si="68"/>
        <v>0</v>
      </c>
      <c r="S94" s="2"/>
      <c r="T94" s="7">
        <v>24000</v>
      </c>
      <c r="U94" s="2"/>
      <c r="V94" s="6">
        <f t="shared" si="69"/>
        <v>0</v>
      </c>
      <c r="W94" s="2"/>
      <c r="X94" s="7">
        <f t="shared" si="70"/>
        <v>0</v>
      </c>
      <c r="Y94" s="2"/>
      <c r="Z94" s="6">
        <f t="shared" si="71"/>
        <v>0</v>
      </c>
    </row>
    <row r="95" spans="1:26" s="60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collapsed="1" x14ac:dyDescent="0.25">
      <c r="A96" s="10"/>
      <c r="B96" s="25" t="s">
        <v>293</v>
      </c>
      <c r="C96" s="10"/>
      <c r="D96" s="4">
        <f>SUM(OSRRefD25x_0)</f>
        <v>9773.49</v>
      </c>
      <c r="E96" s="4"/>
      <c r="F96" s="12">
        <f t="shared" ref="F96:F98" si="72">IF(D$12=0,0,D96/D$12)</f>
        <v>0</v>
      </c>
      <c r="G96" s="4"/>
      <c r="H96" s="4">
        <f>SUM(OSRRefH25x_0)</f>
        <v>1200</v>
      </c>
      <c r="I96" s="4"/>
      <c r="J96" s="12">
        <f t="shared" ref="J96:J98" si="73">IF(H$12=0,0,H96/H$12)</f>
        <v>0</v>
      </c>
      <c r="K96" s="4"/>
      <c r="L96" s="4">
        <f t="shared" ref="L96:L98" si="74">+D96-H96</f>
        <v>8573.49</v>
      </c>
      <c r="M96" s="4"/>
      <c r="N96" s="12">
        <f t="shared" ref="N96:N98" si="75">IF(H96=0,0,L96/H96)</f>
        <v>7.1445749999999997</v>
      </c>
      <c r="O96" s="10"/>
      <c r="P96" s="4">
        <f>SUM(OSRRefP25x_0)</f>
        <v>78004.97</v>
      </c>
      <c r="Q96" s="4"/>
      <c r="R96" s="12">
        <f t="shared" ref="R96:R98" si="76">IF(P$12=0,0,P96/P$12)</f>
        <v>0</v>
      </c>
      <c r="S96" s="4"/>
      <c r="T96" s="4">
        <f>SUM(OSRRefT25x_0)</f>
        <v>47800</v>
      </c>
      <c r="U96" s="4"/>
      <c r="V96" s="12">
        <f t="shared" ref="V96:V98" si="77">IF(T$12=0,0,T96/T$12)</f>
        <v>0</v>
      </c>
      <c r="W96" s="4"/>
      <c r="X96" s="4">
        <f t="shared" ref="X96:X98" si="78">+P96-T96</f>
        <v>30204.97</v>
      </c>
      <c r="Y96" s="4"/>
      <c r="Z96" s="12">
        <f t="shared" ref="Z96:Z98" si="79">IF(T96=0,0,X96/T96)</f>
        <v>0.63190313807531384</v>
      </c>
    </row>
    <row r="97" spans="1:26" s="24" customFormat="1" hidden="1" outlineLevel="1" x14ac:dyDescent="0.25">
      <c r="A97" s="44"/>
      <c r="B97" s="11" t="str">
        <f>CONCATENATE("          ", "9150", " - ", "MISC. INCOME")</f>
        <v xml:space="preserve">          9150 - MISC. INCOME</v>
      </c>
      <c r="C97" s="11"/>
      <c r="D97" s="2">
        <f>--9773.49</f>
        <v>9773.49</v>
      </c>
      <c r="E97" s="2"/>
      <c r="F97" s="19">
        <f t="shared" si="72"/>
        <v>0</v>
      </c>
      <c r="G97" s="2"/>
      <c r="H97" s="2">
        <v>1200</v>
      </c>
      <c r="I97" s="2"/>
      <c r="J97" s="19">
        <f t="shared" si="73"/>
        <v>0</v>
      </c>
      <c r="K97" s="2"/>
      <c r="L97" s="2">
        <f t="shared" si="74"/>
        <v>8573.49</v>
      </c>
      <c r="M97" s="2"/>
      <c r="N97" s="19">
        <f t="shared" si="75"/>
        <v>7.1445749999999997</v>
      </c>
      <c r="O97" s="11"/>
      <c r="P97" s="2">
        <f>--78004.97</f>
        <v>78004.97</v>
      </c>
      <c r="Q97" s="2"/>
      <c r="R97" s="19">
        <f t="shared" si="76"/>
        <v>0</v>
      </c>
      <c r="S97" s="2"/>
      <c r="T97" s="2">
        <v>4800</v>
      </c>
      <c r="U97" s="2"/>
      <c r="V97" s="19">
        <f t="shared" si="77"/>
        <v>0</v>
      </c>
      <c r="W97" s="2"/>
      <c r="X97" s="2">
        <f t="shared" si="78"/>
        <v>73204.97</v>
      </c>
      <c r="Y97" s="2"/>
      <c r="Z97" s="19">
        <f t="shared" si="79"/>
        <v>15.251035416666667</v>
      </c>
    </row>
    <row r="98" spans="1:26" s="24" customFormat="1" hidden="1" outlineLevel="1" x14ac:dyDescent="0.25">
      <c r="A98" s="44"/>
      <c r="B98" s="11" t="str">
        <f>CONCATENATE("          ", "9151", " - ", "MISC. INCOME")</f>
        <v xml:space="preserve">          9151 - MISC. INCOME</v>
      </c>
      <c r="C98" s="11"/>
      <c r="D98" s="2">
        <f>0</f>
        <v>0</v>
      </c>
      <c r="E98" s="2"/>
      <c r="F98" s="19">
        <f t="shared" si="72"/>
        <v>0</v>
      </c>
      <c r="G98" s="2"/>
      <c r="H98" s="2"/>
      <c r="I98" s="2"/>
      <c r="J98" s="19">
        <f t="shared" si="73"/>
        <v>0</v>
      </c>
      <c r="K98" s="2"/>
      <c r="L98" s="2">
        <f t="shared" si="74"/>
        <v>0</v>
      </c>
      <c r="M98" s="2"/>
      <c r="N98" s="19">
        <f t="shared" si="75"/>
        <v>0</v>
      </c>
      <c r="O98" s="11"/>
      <c r="P98" s="2">
        <f>0</f>
        <v>0</v>
      </c>
      <c r="Q98" s="2"/>
      <c r="R98" s="19">
        <f t="shared" si="76"/>
        <v>0</v>
      </c>
      <c r="S98" s="2"/>
      <c r="T98" s="2">
        <v>43000</v>
      </c>
      <c r="U98" s="2"/>
      <c r="V98" s="19">
        <f t="shared" si="77"/>
        <v>0</v>
      </c>
      <c r="W98" s="2"/>
      <c r="X98" s="2">
        <f t="shared" si="78"/>
        <v>-43000</v>
      </c>
      <c r="Y98" s="2"/>
      <c r="Z98" s="19">
        <f t="shared" si="79"/>
        <v>-1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6" t="s">
        <v>277</v>
      </c>
      <c r="C100" s="26"/>
      <c r="D100" s="21">
        <f>+D17-D19+D96</f>
        <v>-136502.21</v>
      </c>
      <c r="E100" s="13"/>
      <c r="F100" s="20">
        <f>IF(D$12=0,0,D100/D$12)</f>
        <v>0</v>
      </c>
      <c r="G100" s="13"/>
      <c r="H100" s="21">
        <f>+H17-H19+H96</f>
        <v>-107391.73018538463</v>
      </c>
      <c r="I100" s="13"/>
      <c r="J100" s="20">
        <f>IF(H$12=0,0,H100/H$12)</f>
        <v>0</v>
      </c>
      <c r="K100" s="15"/>
      <c r="L100" s="21">
        <f>+D100-H100</f>
        <v>-29110.479814615363</v>
      </c>
      <c r="M100" s="15"/>
      <c r="N100" s="20">
        <f>IF(H100=0,0,L100/H100)</f>
        <v>0.27106817037367298</v>
      </c>
      <c r="O100" s="25"/>
      <c r="P100" s="21">
        <f>+P17-P19+P96</f>
        <v>-542654.94999999995</v>
      </c>
      <c r="Q100" s="13"/>
      <c r="R100" s="20">
        <f>IF(P$12=0,0,P100/P$12)</f>
        <v>0</v>
      </c>
      <c r="S100" s="13"/>
      <c r="T100" s="21">
        <f>+T17-T19+T96</f>
        <v>-543959.66168238455</v>
      </c>
      <c r="U100" s="13"/>
      <c r="V100" s="20">
        <f>IF(T$12=0,0,T100/T$12)</f>
        <v>0</v>
      </c>
      <c r="W100" s="15"/>
      <c r="X100" s="21">
        <f>+P100-T100</f>
        <v>1304.7116823846009</v>
      </c>
      <c r="Y100" s="15"/>
      <c r="Z100" s="20">
        <f>IF(T100=0,0,X100/T100)</f>
        <v>-2.3985449184767229E-3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2"/>
      <c r="B102" s="10" t="s">
        <v>128</v>
      </c>
      <c r="C102" s="10"/>
      <c r="D102" s="4"/>
      <c r="E102" s="4"/>
      <c r="F102" s="12">
        <f>IF(D$12=0,0,D102/D$12)</f>
        <v>0</v>
      </c>
      <c r="G102" s="4"/>
      <c r="H102" s="4"/>
      <c r="I102" s="4"/>
      <c r="J102" s="12">
        <f>IF(H$12=0,0,H102/H$12)</f>
        <v>0</v>
      </c>
      <c r="K102" s="4"/>
      <c r="L102" s="4">
        <f>+D102-H102</f>
        <v>0</v>
      </c>
      <c r="M102" s="4"/>
      <c r="N102" s="12">
        <f>IF(H102=0,0,L102/H102)</f>
        <v>0</v>
      </c>
      <c r="O102" s="10"/>
      <c r="P102" s="4"/>
      <c r="Q102" s="4"/>
      <c r="R102" s="12">
        <f>IF(P$12=0,0,P102/P$12)</f>
        <v>0</v>
      </c>
      <c r="S102" s="4"/>
      <c r="T102" s="4"/>
      <c r="U102" s="4"/>
      <c r="V102" s="12">
        <f>IF(T$12=0,0,T102/T$12)</f>
        <v>0</v>
      </c>
      <c r="W102" s="4"/>
      <c r="X102" s="4">
        <f>+P102-T102</f>
        <v>0</v>
      </c>
      <c r="Y102" s="4"/>
      <c r="Z102" s="12">
        <f>IF(T102=0,0,X102/T102)</f>
        <v>0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6" t="s">
        <v>126</v>
      </c>
      <c r="C104" s="26"/>
      <c r="D104" s="31">
        <f>+D100-D102</f>
        <v>-136502.21</v>
      </c>
      <c r="E104" s="13"/>
      <c r="F104" s="33">
        <f>IF(D$12=0,0,D104/D$12)</f>
        <v>0</v>
      </c>
      <c r="G104" s="13"/>
      <c r="H104" s="31">
        <f>+H100-H102</f>
        <v>-107391.73018538463</v>
      </c>
      <c r="I104" s="13"/>
      <c r="J104" s="33">
        <f>IF(H$12=0,0,H104/H$12)</f>
        <v>0</v>
      </c>
      <c r="K104" s="15"/>
      <c r="L104" s="31">
        <f>D104-H104</f>
        <v>-29110.479814615363</v>
      </c>
      <c r="M104" s="15"/>
      <c r="N104" s="33">
        <f>IF(H104=0,0,L104/H104)</f>
        <v>0.27106817037367298</v>
      </c>
      <c r="O104" s="25"/>
      <c r="P104" s="31">
        <f>+P100-P102</f>
        <v>-542654.94999999995</v>
      </c>
      <c r="Q104" s="13"/>
      <c r="R104" s="33">
        <f>IF(P$12=0,0,P104/P$12)</f>
        <v>0</v>
      </c>
      <c r="S104" s="13"/>
      <c r="T104" s="31">
        <f>+T100-T102</f>
        <v>-543959.66168238455</v>
      </c>
      <c r="U104" s="13"/>
      <c r="V104" s="33">
        <f>IF(T$12=0,0,T104/T$12)</f>
        <v>0</v>
      </c>
      <c r="W104" s="15"/>
      <c r="X104" s="31">
        <f>P104-T104</f>
        <v>1304.7116823846009</v>
      </c>
      <c r="Y104" s="15"/>
      <c r="Z104" s="33">
        <f>IF(T104=0,0,X104/T104)</f>
        <v>-2.3985449184767229E-3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6" t="s">
        <v>294</v>
      </c>
      <c r="C107" s="26"/>
      <c r="D107" s="35">
        <f>SUM(D104:D106)</f>
        <v>-136502.21</v>
      </c>
      <c r="E107" s="13"/>
      <c r="F107" s="32">
        <f>IF(D$12=0,0,D107/D$12)</f>
        <v>0</v>
      </c>
      <c r="G107" s="13"/>
      <c r="H107" s="35">
        <f>SUM(H104:H106)</f>
        <v>-107391.73018538463</v>
      </c>
      <c r="I107" s="13"/>
      <c r="J107" s="32">
        <f>IF(H$12=0,0,H107/H$12)</f>
        <v>0</v>
      </c>
      <c r="K107" s="15"/>
      <c r="L107" s="35">
        <f>+D107-H107</f>
        <v>-29110.479814615363</v>
      </c>
      <c r="M107" s="15"/>
      <c r="N107" s="32">
        <f>IF(H107=0,0,L107/H107)</f>
        <v>0.27106817037367298</v>
      </c>
      <c r="O107" s="25"/>
      <c r="P107" s="35">
        <f>SUM(P104:P106)</f>
        <v>-542654.94999999995</v>
      </c>
      <c r="Q107" s="13"/>
      <c r="R107" s="32">
        <f>IF(P$12=0,0,P107/P$12)</f>
        <v>0</v>
      </c>
      <c r="S107" s="13"/>
      <c r="T107" s="35">
        <f>SUM(T104:T106)</f>
        <v>-543959.66168238455</v>
      </c>
      <c r="U107" s="13"/>
      <c r="V107" s="32">
        <f>IF(T$12=0,0,T107/T$12)</f>
        <v>0</v>
      </c>
      <c r="W107" s="15"/>
      <c r="X107" s="35">
        <f>+P107-T107</f>
        <v>1304.7116823846009</v>
      </c>
      <c r="Y107" s="15"/>
      <c r="Z107" s="32">
        <f>IF(T107=0,0,X107/T107)</f>
        <v>-2.3985449184767229E-3</v>
      </c>
    </row>
    <row r="108" spans="1:26" ht="15.75" thickTop="1" x14ac:dyDescent="0.25">
      <c r="A108" s="9"/>
      <c r="C108" s="9"/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59">
        <v>44517.962875613426</v>
      </c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A110" s="9"/>
      <c r="B110" s="62" t="s">
        <v>56</v>
      </c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A111" s="9"/>
      <c r="B111" s="57"/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</sheetPr>
  <dimension ref="A2:Z9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81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25367.03</v>
      </c>
      <c r="E12" s="4"/>
      <c r="F12" s="12"/>
      <c r="G12" s="4"/>
      <c r="H12" s="4">
        <f>SUM(OSRRefH13x_0)</f>
        <v>72050</v>
      </c>
      <c r="I12" s="4"/>
      <c r="J12" s="12"/>
      <c r="K12" s="4"/>
      <c r="L12" s="4">
        <f t="shared" ref="L12:L16" si="0">+D12-H12</f>
        <v>-46682.97</v>
      </c>
      <c r="M12" s="4"/>
      <c r="N12" s="12">
        <f t="shared" ref="N12:N16" si="1">IF(H12=0,0,L12/H12)</f>
        <v>-0.64792463566967384</v>
      </c>
      <c r="O12" s="10"/>
      <c r="P12" s="4">
        <f>SUM(OSRRefP13x_0)</f>
        <v>67542.340000000011</v>
      </c>
      <c r="Q12" s="4"/>
      <c r="R12" s="12"/>
      <c r="S12" s="4"/>
      <c r="T12" s="4">
        <f>SUM(OSRRefT13x_0)</f>
        <v>201597</v>
      </c>
      <c r="U12" s="4"/>
      <c r="V12" s="12"/>
      <c r="W12" s="4"/>
      <c r="X12" s="4">
        <f t="shared" ref="X12:X16" si="2">+P12-T12</f>
        <v>-134054.65999999997</v>
      </c>
      <c r="Y12" s="4"/>
      <c r="Z12" s="12">
        <f t="shared" ref="Z12:Z16" si="3">IF(T12=0,0,X12/T12)</f>
        <v>-0.66496356592608008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--16412.68</f>
        <v>16412.68</v>
      </c>
      <c r="E13" s="2"/>
      <c r="F13" s="19"/>
      <c r="G13" s="2"/>
      <c r="H13" s="2">
        <v>42591</v>
      </c>
      <c r="I13" s="2"/>
      <c r="J13" s="19"/>
      <c r="K13" s="2"/>
      <c r="L13" s="2">
        <f t="shared" si="0"/>
        <v>-26178.32</v>
      </c>
      <c r="M13" s="2"/>
      <c r="N13" s="19">
        <f t="shared" si="1"/>
        <v>-0.61464440844309831</v>
      </c>
      <c r="O13" s="11"/>
      <c r="P13" s="2">
        <f>--51249.05</f>
        <v>51249.05</v>
      </c>
      <c r="Q13" s="2"/>
      <c r="R13" s="19"/>
      <c r="S13" s="2"/>
      <c r="T13" s="2">
        <v>141025</v>
      </c>
      <c r="U13" s="2"/>
      <c r="V13" s="19"/>
      <c r="W13" s="2"/>
      <c r="X13" s="2">
        <f t="shared" si="2"/>
        <v>-89775.95</v>
      </c>
      <c r="Y13" s="2"/>
      <c r="Z13" s="19">
        <f t="shared" si="3"/>
        <v>-0.63659599361815278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--9316.24</f>
        <v>9316.24</v>
      </c>
      <c r="E14" s="2"/>
      <c r="F14" s="19"/>
      <c r="G14" s="2"/>
      <c r="H14" s="2">
        <v>29459</v>
      </c>
      <c r="I14" s="2"/>
      <c r="J14" s="19"/>
      <c r="K14" s="2"/>
      <c r="L14" s="2">
        <f t="shared" si="0"/>
        <v>-20142.760000000002</v>
      </c>
      <c r="M14" s="2"/>
      <c r="N14" s="19">
        <f t="shared" si="1"/>
        <v>-0.6837557283003497</v>
      </c>
      <c r="O14" s="11"/>
      <c r="P14" s="2">
        <f>--17319.17</f>
        <v>17319.169999999998</v>
      </c>
      <c r="Q14" s="2"/>
      <c r="R14" s="19"/>
      <c r="S14" s="2"/>
      <c r="T14" s="2">
        <v>60572</v>
      </c>
      <c r="U14" s="2"/>
      <c r="V14" s="19"/>
      <c r="W14" s="2"/>
      <c r="X14" s="2">
        <f t="shared" si="2"/>
        <v>-43252.83</v>
      </c>
      <c r="Y14" s="2"/>
      <c r="Z14" s="19">
        <f t="shared" si="3"/>
        <v>-0.7140730040282639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-211.3</f>
        <v>-211.3</v>
      </c>
      <c r="E15" s="2"/>
      <c r="F15" s="19"/>
      <c r="G15" s="2"/>
      <c r="H15" s="2"/>
      <c r="I15" s="2"/>
      <c r="J15" s="19"/>
      <c r="K15" s="2"/>
      <c r="L15" s="2">
        <f t="shared" si="0"/>
        <v>-211.3</v>
      </c>
      <c r="M15" s="2"/>
      <c r="N15" s="19">
        <f t="shared" si="1"/>
        <v>0</v>
      </c>
      <c r="O15" s="11"/>
      <c r="P15" s="2">
        <f>-875.29</f>
        <v>-875.29</v>
      </c>
      <c r="Q15" s="2"/>
      <c r="R15" s="19"/>
      <c r="S15" s="2"/>
      <c r="T15" s="2"/>
      <c r="U15" s="2"/>
      <c r="V15" s="19"/>
      <c r="W15" s="2"/>
      <c r="X15" s="2">
        <f t="shared" si="2"/>
        <v>-875.29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"4500", " - ", "SALES DISCOUNT")</f>
        <v xml:space="preserve">          4500 - SALES DISCOUNT</v>
      </c>
      <c r="C16" s="11"/>
      <c r="D16" s="2">
        <f>-150.59</f>
        <v>-150.59</v>
      </c>
      <c r="E16" s="2"/>
      <c r="F16" s="19"/>
      <c r="G16" s="2"/>
      <c r="H16" s="2"/>
      <c r="I16" s="2"/>
      <c r="J16" s="19"/>
      <c r="K16" s="2"/>
      <c r="L16" s="2">
        <f t="shared" si="0"/>
        <v>-150.59</v>
      </c>
      <c r="M16" s="2"/>
      <c r="N16" s="19">
        <f t="shared" si="1"/>
        <v>0</v>
      </c>
      <c r="O16" s="11"/>
      <c r="P16" s="2">
        <f>-150.59</f>
        <v>-150.59</v>
      </c>
      <c r="Q16" s="2"/>
      <c r="R16" s="19"/>
      <c r="S16" s="2"/>
      <c r="T16" s="2"/>
      <c r="U16" s="2"/>
      <c r="V16" s="19"/>
      <c r="W16" s="2"/>
      <c r="X16" s="2">
        <f t="shared" si="2"/>
        <v>-150.59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257</v>
      </c>
      <c r="C18" s="10"/>
      <c r="D18" s="4">
        <f>SUM(OSRRefD16x_0)</f>
        <v>13841.29</v>
      </c>
      <c r="E18" s="4"/>
      <c r="F18" s="12">
        <f t="shared" ref="F18:F28" si="4">IF(D$12=0,0,D18/D$12)</f>
        <v>0.54564093628619514</v>
      </c>
      <c r="G18" s="4"/>
      <c r="H18" s="4">
        <f>SUM(OSRRefH16x_0)</f>
        <v>39169</v>
      </c>
      <c r="I18" s="4"/>
      <c r="J18" s="12">
        <f t="shared" ref="J18:J28" si="5">IF(H$12=0,0,H18/H$12)</f>
        <v>0.54363636363636358</v>
      </c>
      <c r="K18" s="4"/>
      <c r="L18" s="4">
        <f t="shared" ref="L18:L28" si="6">+D18-H18</f>
        <v>-25327.71</v>
      </c>
      <c r="M18" s="4"/>
      <c r="N18" s="12">
        <f t="shared" ref="N18:N28" si="7">IF(H18=0,0,L18/H18)</f>
        <v>-0.64662641374556407</v>
      </c>
      <c r="O18" s="10"/>
      <c r="P18" s="4">
        <f>SUM(OSRRefP16x_0)</f>
        <v>38301.46</v>
      </c>
      <c r="Q18" s="4"/>
      <c r="R18" s="12">
        <f t="shared" ref="R18:R28" si="8">IF(P$12=0,0,P18/P$12)</f>
        <v>0.56707333503695601</v>
      </c>
      <c r="S18" s="4"/>
      <c r="T18" s="4">
        <f>SUM(OSRRefT16x_0)</f>
        <v>114241</v>
      </c>
      <c r="U18" s="4"/>
      <c r="V18" s="12">
        <f t="shared" ref="V18:V28" si="9">IF(T$12=0,0,T18/T$12)</f>
        <v>0.56668005972311097</v>
      </c>
      <c r="W18" s="4"/>
      <c r="X18" s="4">
        <f t="shared" ref="X18:X28" si="10">+P18-T18</f>
        <v>-75939.540000000008</v>
      </c>
      <c r="Y18" s="4"/>
      <c r="Z18" s="12">
        <f t="shared" ref="Z18:Z28" si="11">IF(T18=0,0,X18/T18)</f>
        <v>-0.6647310510237131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22158.639999999999</v>
      </c>
      <c r="E19" s="2"/>
      <c r="F19" s="19">
        <f t="shared" si="4"/>
        <v>0.8735212596823515</v>
      </c>
      <c r="G19" s="2"/>
      <c r="H19" s="2">
        <v>39169</v>
      </c>
      <c r="I19" s="2"/>
      <c r="J19" s="19">
        <f t="shared" si="5"/>
        <v>0.54363636363636358</v>
      </c>
      <c r="K19" s="2"/>
      <c r="L19" s="2">
        <f t="shared" si="6"/>
        <v>-17010.36</v>
      </c>
      <c r="M19" s="2"/>
      <c r="N19" s="19">
        <f t="shared" si="7"/>
        <v>-0.43428119175878888</v>
      </c>
      <c r="O19" s="11"/>
      <c r="P19" s="2">
        <v>47391.75</v>
      </c>
      <c r="Q19" s="2"/>
      <c r="R19" s="19">
        <f t="shared" si="8"/>
        <v>0.7016598773450845</v>
      </c>
      <c r="S19" s="2"/>
      <c r="T19" s="2">
        <v>114241</v>
      </c>
      <c r="U19" s="2"/>
      <c r="V19" s="19">
        <f t="shared" si="9"/>
        <v>0.56668005972311097</v>
      </c>
      <c r="W19" s="2"/>
      <c r="X19" s="2">
        <f t="shared" si="10"/>
        <v>-66849.25</v>
      </c>
      <c r="Y19" s="2"/>
      <c r="Z19" s="19">
        <f t="shared" si="11"/>
        <v>-0.58515988130356</v>
      </c>
    </row>
    <row r="20" spans="1:26" s="24" customFormat="1" hidden="1" outlineLevel="1" x14ac:dyDescent="0.25">
      <c r="A20" s="44"/>
      <c r="B20" s="11" t="str">
        <f>CONCATENATE("          ", "5026", " - ", "PURCHASES @ COST-WRITING INSTR")</f>
        <v xml:space="preserve">          5026 - PURCHASES @ COST-WRITING INSTR</v>
      </c>
      <c r="C20" s="11"/>
      <c r="D20" s="2"/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"5027", " - ", "PURCHASES @ COST-SCHOOL SUPPLI")</f>
        <v xml:space="preserve">          5027 - PURCHASES @ COST-SCHOOL SUPPLI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"5028", " - ", "PURCHASES @ COST-ART/TECH")</f>
        <v xml:space="preserve">          5028 - PURCHASES @ COST-ART/TECH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"5031", " - ", "PURCHASES @ COST-FOOD")</f>
        <v xml:space="preserve">          5031 - PURCHASES @ COST-FOOD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"5042", " - ", "PURCHASES @ COST-EVERYDAY GIFT")</f>
        <v xml:space="preserve">          5042 - PURCHASES @ COST-EVERYDAY GIFT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"5200", " - ", "PURCHASES OFFSET")</f>
        <v xml:space="preserve">          5200 - PURCHASES OFFSET</v>
      </c>
      <c r="C25" s="11"/>
      <c r="D25" s="2">
        <v>-22717.1</v>
      </c>
      <c r="E25" s="2"/>
      <c r="F25" s="19">
        <f t="shared" si="4"/>
        <v>-0.89553645026634965</v>
      </c>
      <c r="G25" s="2"/>
      <c r="H25" s="2"/>
      <c r="I25" s="2"/>
      <c r="J25" s="19">
        <f t="shared" si="5"/>
        <v>0</v>
      </c>
      <c r="K25" s="2"/>
      <c r="L25" s="2">
        <f t="shared" si="6"/>
        <v>-22717.1</v>
      </c>
      <c r="M25" s="2"/>
      <c r="N25" s="19">
        <f t="shared" si="7"/>
        <v>0</v>
      </c>
      <c r="O25" s="11"/>
      <c r="P25" s="2">
        <v>-48143.98</v>
      </c>
      <c r="Q25" s="2"/>
      <c r="R25" s="19">
        <f t="shared" si="8"/>
        <v>-0.71279703960508323</v>
      </c>
      <c r="S25" s="2"/>
      <c r="T25" s="2"/>
      <c r="U25" s="2"/>
      <c r="V25" s="19">
        <f t="shared" si="9"/>
        <v>0</v>
      </c>
      <c r="W25" s="2"/>
      <c r="X25" s="2">
        <f t="shared" si="10"/>
        <v>-48143.98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"5300", " - ", "COG$ OFFSET")</f>
        <v xml:space="preserve">          5300 - COG$ OFFSET</v>
      </c>
      <c r="C26" s="11"/>
      <c r="D26" s="2">
        <v>13841.29</v>
      </c>
      <c r="E26" s="2"/>
      <c r="F26" s="19">
        <f t="shared" si="4"/>
        <v>0.54564093628619514</v>
      </c>
      <c r="G26" s="2"/>
      <c r="H26" s="2"/>
      <c r="I26" s="2"/>
      <c r="J26" s="19">
        <f t="shared" si="5"/>
        <v>0</v>
      </c>
      <c r="K26" s="2"/>
      <c r="L26" s="2">
        <f t="shared" si="6"/>
        <v>13841.29</v>
      </c>
      <c r="M26" s="2"/>
      <c r="N26" s="19">
        <f t="shared" si="7"/>
        <v>0</v>
      </c>
      <c r="O26" s="11"/>
      <c r="P26" s="2">
        <v>38301.46</v>
      </c>
      <c r="Q26" s="2"/>
      <c r="R26" s="19">
        <f t="shared" si="8"/>
        <v>0.56707333503695601</v>
      </c>
      <c r="S26" s="2"/>
      <c r="T26" s="2"/>
      <c r="U26" s="2"/>
      <c r="V26" s="19">
        <f t="shared" si="9"/>
        <v>0</v>
      </c>
      <c r="W26" s="2"/>
      <c r="X26" s="2">
        <f t="shared" si="10"/>
        <v>38301.46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"5500", " - ", "FREIGHT-IN")</f>
        <v xml:space="preserve">          5500 - FREIGHT-IN</v>
      </c>
      <c r="C27" s="11"/>
      <c r="D27" s="2">
        <v>558.46</v>
      </c>
      <c r="E27" s="2"/>
      <c r="F27" s="19">
        <f t="shared" si="4"/>
        <v>2.2015190583998208E-2</v>
      </c>
      <c r="G27" s="2"/>
      <c r="H27" s="2"/>
      <c r="I27" s="2"/>
      <c r="J27" s="19">
        <f t="shared" si="5"/>
        <v>0</v>
      </c>
      <c r="K27" s="2"/>
      <c r="L27" s="2">
        <f t="shared" si="6"/>
        <v>558.46</v>
      </c>
      <c r="M27" s="2"/>
      <c r="N27" s="19">
        <f t="shared" si="7"/>
        <v>0</v>
      </c>
      <c r="O27" s="11"/>
      <c r="P27" s="2">
        <v>752.23</v>
      </c>
      <c r="Q27" s="2"/>
      <c r="R27" s="19">
        <f t="shared" si="8"/>
        <v>1.113716225999869E-2</v>
      </c>
      <c r="S27" s="2"/>
      <c r="T27" s="2"/>
      <c r="U27" s="2"/>
      <c r="V27" s="19">
        <f t="shared" si="9"/>
        <v>0</v>
      </c>
      <c r="W27" s="2"/>
      <c r="X27" s="2">
        <f t="shared" si="10"/>
        <v>752.23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"5528", " - ", "FREIGHT-IN-ART/TECH")</f>
        <v xml:space="preserve">          5528 - FREIGHT-IN-ART/TECH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6" t="s">
        <v>108</v>
      </c>
      <c r="C30" s="26"/>
      <c r="D30" s="21">
        <f>D12-D18</f>
        <v>11525.739999999998</v>
      </c>
      <c r="E30" s="13"/>
      <c r="F30" s="20">
        <f>IF(D$12=0,0,D30/D$12)</f>
        <v>0.4543590637138048</v>
      </c>
      <c r="G30" s="13"/>
      <c r="H30" s="21">
        <f>H12-H18</f>
        <v>32881</v>
      </c>
      <c r="I30" s="13"/>
      <c r="J30" s="20">
        <f>IF(H$12=0,0,H30/H$12)</f>
        <v>0.45636363636363636</v>
      </c>
      <c r="K30" s="15"/>
      <c r="L30" s="21">
        <f>+D30-H30</f>
        <v>-21355.260000000002</v>
      </c>
      <c r="M30" s="15"/>
      <c r="N30" s="20">
        <f>IF(H30=0,0,L30/H30)</f>
        <v>-0.64947112314102373</v>
      </c>
      <c r="O30" s="25"/>
      <c r="P30" s="21">
        <f>P12-P18</f>
        <v>29240.880000000012</v>
      </c>
      <c r="Q30" s="13"/>
      <c r="R30" s="20">
        <f>IF(P$12=0,0,P30/P$12)</f>
        <v>0.43292666496304405</v>
      </c>
      <c r="S30" s="13"/>
      <c r="T30" s="21">
        <f>T12-T18</f>
        <v>87356</v>
      </c>
      <c r="U30" s="13"/>
      <c r="V30" s="20">
        <f>IF(T$12=0,0,T30/T$12)</f>
        <v>0.43331994027688903</v>
      </c>
      <c r="W30" s="15"/>
      <c r="X30" s="21">
        <f>+P30-T30</f>
        <v>-58115.119999999988</v>
      </c>
      <c r="Y30" s="15"/>
      <c r="Z30" s="20">
        <f>IF(T30=0,0,X30/T30)</f>
        <v>-0.66526764045972786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5" t="s">
        <v>295</v>
      </c>
      <c r="C32" s="10"/>
      <c r="D32" s="22">
        <f>SUM(OSRRefD22x_0)</f>
        <v>8618.59</v>
      </c>
      <c r="E32" s="22"/>
      <c r="F32" s="34">
        <f t="shared" ref="F32:F41" si="12">IF(D$12=0,0,D32/D$12)</f>
        <v>0.33975558037342174</v>
      </c>
      <c r="G32" s="22"/>
      <c r="H32" s="22">
        <f>SUM(OSRRefH22x_0)</f>
        <v>12951.0195</v>
      </c>
      <c r="I32" s="22"/>
      <c r="J32" s="34">
        <f t="shared" ref="J32:J41" si="13">IF(H$12=0,0,H32/H$12)</f>
        <v>0.17975044413601665</v>
      </c>
      <c r="K32" s="4"/>
      <c r="L32" s="22">
        <f t="shared" ref="L32:L41" si="14">+D32-H32</f>
        <v>-4332.4295000000002</v>
      </c>
      <c r="M32" s="4"/>
      <c r="N32" s="34">
        <f t="shared" ref="N32:N41" si="15">IF(H32=0,0,L32/H32)</f>
        <v>-0.33452420483190531</v>
      </c>
      <c r="O32" s="10"/>
      <c r="P32" s="22">
        <f>SUM(OSRRefP22x_0)</f>
        <v>14216.890000000001</v>
      </c>
      <c r="Q32" s="22"/>
      <c r="R32" s="34">
        <f t="shared" ref="R32:R41" si="16">IF(P$12=0,0,P32/P$12)</f>
        <v>0.2104885616933023</v>
      </c>
      <c r="S32" s="22"/>
      <c r="T32" s="22">
        <f>SUM(OSRRefT22x_0)</f>
        <v>47056.307549999998</v>
      </c>
      <c r="U32" s="22"/>
      <c r="V32" s="34">
        <f t="shared" ref="V32:V41" si="17">IF(T$12=0,0,T32/T$12)</f>
        <v>0.23341769743597374</v>
      </c>
      <c r="W32" s="4"/>
      <c r="X32" s="22">
        <f t="shared" ref="X32:X41" si="18">+P32-T32</f>
        <v>-32839.417549999998</v>
      </c>
      <c r="Y32" s="4"/>
      <c r="Z32" s="34">
        <f t="shared" ref="Z32:Z41" si="19">IF(T32=0,0,X32/T32)</f>
        <v>-0.6978749345155536</v>
      </c>
    </row>
    <row r="33" spans="1:26" s="28" customFormat="1" outlineLevel="1" collapsed="1" x14ac:dyDescent="0.25">
      <c r="A33" s="29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130.36000000000001</v>
      </c>
      <c r="E33" s="1"/>
      <c r="F33" s="5">
        <f t="shared" si="12"/>
        <v>5.1389539887010827E-3</v>
      </c>
      <c r="G33" s="1"/>
      <c r="H33" s="1">
        <f>SUM(OSRRefH22_0x_0)</f>
        <v>717.01949999999999</v>
      </c>
      <c r="I33" s="1"/>
      <c r="J33" s="5">
        <f t="shared" si="13"/>
        <v>9.9516932685634971E-3</v>
      </c>
      <c r="K33" s="1"/>
      <c r="L33" s="1">
        <f t="shared" si="14"/>
        <v>-586.65949999999998</v>
      </c>
      <c r="M33" s="1"/>
      <c r="N33" s="5">
        <f t="shared" si="15"/>
        <v>-0.81819183439223064</v>
      </c>
      <c r="O33" s="14"/>
      <c r="P33" s="1">
        <f>SUM(OSRRefP22_0x_0)</f>
        <v>130.36000000000001</v>
      </c>
      <c r="Q33" s="1"/>
      <c r="R33" s="5">
        <f t="shared" si="16"/>
        <v>1.930048618392552E-3</v>
      </c>
      <c r="S33" s="1"/>
      <c r="T33" s="1">
        <f>SUM(OSRRefT22_0x_0)</f>
        <v>3652.3075499999995</v>
      </c>
      <c r="U33" s="1"/>
      <c r="V33" s="5">
        <f t="shared" si="17"/>
        <v>1.8116874507061113E-2</v>
      </c>
      <c r="W33" s="1"/>
      <c r="X33" s="1">
        <f t="shared" si="18"/>
        <v>-3521.9475499999994</v>
      </c>
      <c r="Y33" s="1"/>
      <c r="Z33" s="5">
        <f t="shared" si="19"/>
        <v>-0.96430749650313541</v>
      </c>
    </row>
    <row r="34" spans="1:26" s="24" customFormat="1" hidden="1" outlineLevel="2" x14ac:dyDescent="0.25">
      <c r="A34" s="27"/>
      <c r="B34" s="11" t="str">
        <f>CONCATENATE("          ", "6111", " - ", "F.I.C.A.")</f>
        <v xml:space="preserve">          6111 - F.I.C.A.</v>
      </c>
      <c r="C34" s="11"/>
      <c r="D34" s="7">
        <v>10.31</v>
      </c>
      <c r="E34" s="2"/>
      <c r="F34" s="6">
        <f t="shared" si="12"/>
        <v>4.0643307474308188E-4</v>
      </c>
      <c r="G34" s="2"/>
      <c r="H34" s="7">
        <v>183.672</v>
      </c>
      <c r="I34" s="2"/>
      <c r="J34" s="6">
        <f t="shared" si="13"/>
        <v>2.5492297015961137E-3</v>
      </c>
      <c r="K34" s="2"/>
      <c r="L34" s="7">
        <f t="shared" si="14"/>
        <v>-173.36199999999999</v>
      </c>
      <c r="M34" s="2"/>
      <c r="N34" s="6">
        <f t="shared" si="15"/>
        <v>-0.94386732871640755</v>
      </c>
      <c r="O34" s="11"/>
      <c r="P34" s="7">
        <v>10.31</v>
      </c>
      <c r="Q34" s="2"/>
      <c r="R34" s="6">
        <f t="shared" si="16"/>
        <v>1.5264499275565517E-4</v>
      </c>
      <c r="S34" s="2"/>
      <c r="T34" s="7">
        <v>1732.2565500000001</v>
      </c>
      <c r="U34" s="2"/>
      <c r="V34" s="6">
        <f t="shared" si="17"/>
        <v>8.5926702778315149E-3</v>
      </c>
      <c r="W34" s="2"/>
      <c r="X34" s="7">
        <f t="shared" si="18"/>
        <v>-1721.9465500000001</v>
      </c>
      <c r="Y34" s="2"/>
      <c r="Z34" s="6">
        <f t="shared" si="19"/>
        <v>-0.99404822570883056</v>
      </c>
    </row>
    <row r="35" spans="1:26" s="24" customFormat="1" hidden="1" outlineLevel="2" x14ac:dyDescent="0.25">
      <c r="A35" s="27"/>
      <c r="B35" s="11" t="str">
        <f>CONCATENATE("          ", "6112", " - ", "COMPENSATION INSURANCE")</f>
        <v xml:space="preserve">          6112 - COMPENSATION INSURANCE</v>
      </c>
      <c r="C35" s="11"/>
      <c r="D35" s="7">
        <v>102.11</v>
      </c>
      <c r="E35" s="2"/>
      <c r="F35" s="6">
        <f t="shared" si="12"/>
        <v>4.0253037111557801E-3</v>
      </c>
      <c r="G35" s="2"/>
      <c r="H35" s="7">
        <v>158.72999999999999</v>
      </c>
      <c r="I35" s="2"/>
      <c r="J35" s="6">
        <f t="shared" si="13"/>
        <v>2.2030534351145038E-3</v>
      </c>
      <c r="K35" s="2"/>
      <c r="L35" s="7">
        <f t="shared" si="14"/>
        <v>-56.61999999999999</v>
      </c>
      <c r="M35" s="2"/>
      <c r="N35" s="6">
        <f t="shared" si="15"/>
        <v>-0.35670635670635664</v>
      </c>
      <c r="O35" s="11"/>
      <c r="P35" s="7">
        <v>102.11</v>
      </c>
      <c r="Q35" s="2"/>
      <c r="R35" s="6">
        <f t="shared" si="16"/>
        <v>1.5117924549253104E-3</v>
      </c>
      <c r="S35" s="2"/>
      <c r="T35" s="7">
        <v>571.428</v>
      </c>
      <c r="U35" s="2"/>
      <c r="V35" s="6">
        <f t="shared" si="17"/>
        <v>2.834506465870028E-3</v>
      </c>
      <c r="W35" s="2"/>
      <c r="X35" s="7">
        <f t="shared" si="18"/>
        <v>-469.31799999999998</v>
      </c>
      <c r="Y35" s="2"/>
      <c r="Z35" s="6">
        <f t="shared" si="19"/>
        <v>-0.82130732130732131</v>
      </c>
    </row>
    <row r="36" spans="1:26" s="24" customFormat="1" hidden="1" outlineLevel="2" x14ac:dyDescent="0.25">
      <c r="A36" s="27"/>
      <c r="B36" s="11" t="str">
        <f>CONCATENATE("          ", "6113", " - ", "GROUP INSURANCE")</f>
        <v xml:space="preserve">          6113 - GROUP INSURANCE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7"/>
      <c r="B37" s="11" t="str">
        <f>CONCATENATE("          ", "6114", " - ", "STATE UNEMPLOYMENT INSURANCE")</f>
        <v xml:space="preserve">          6114 - STATE UNEMPLOYMENT INSURANCE</v>
      </c>
      <c r="C37" s="11"/>
      <c r="D37" s="7">
        <v>17.940000000000001</v>
      </c>
      <c r="E37" s="2"/>
      <c r="F37" s="6">
        <f t="shared" si="12"/>
        <v>7.0721720280222011E-4</v>
      </c>
      <c r="G37" s="2"/>
      <c r="H37" s="7">
        <v>21.3675</v>
      </c>
      <c r="I37" s="2"/>
      <c r="J37" s="6">
        <f t="shared" si="13"/>
        <v>2.9656488549618319E-4</v>
      </c>
      <c r="K37" s="2"/>
      <c r="L37" s="7">
        <f t="shared" si="14"/>
        <v>-3.4274999999999984</v>
      </c>
      <c r="M37" s="2"/>
      <c r="N37" s="6">
        <f t="shared" si="15"/>
        <v>-0.16040716040716033</v>
      </c>
      <c r="O37" s="11"/>
      <c r="P37" s="7">
        <v>17.940000000000001</v>
      </c>
      <c r="Q37" s="2"/>
      <c r="R37" s="6">
        <f t="shared" si="16"/>
        <v>2.6561117071158621E-4</v>
      </c>
      <c r="S37" s="2"/>
      <c r="T37" s="7">
        <v>76.923000000000002</v>
      </c>
      <c r="U37" s="2"/>
      <c r="V37" s="6">
        <f t="shared" si="17"/>
        <v>3.8156817809788837E-4</v>
      </c>
      <c r="W37" s="2"/>
      <c r="X37" s="7">
        <f t="shared" si="18"/>
        <v>-58.983000000000004</v>
      </c>
      <c r="Y37" s="2"/>
      <c r="Z37" s="6">
        <f t="shared" si="19"/>
        <v>-0.76677976677976678</v>
      </c>
    </row>
    <row r="38" spans="1:26" s="24" customFormat="1" hidden="1" outlineLevel="2" x14ac:dyDescent="0.25">
      <c r="A38" s="27"/>
      <c r="B38" s="11" t="str">
        <f>CONCATENATE("          ", "6115", " - ", "P.E.R.S.")</f>
        <v xml:space="preserve">          6115 - P.E.R.S.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0</v>
      </c>
      <c r="Y38" s="2"/>
      <c r="Z38" s="6">
        <f t="shared" si="19"/>
        <v>0</v>
      </c>
    </row>
    <row r="39" spans="1:26" s="24" customFormat="1" hidden="1" outlineLevel="2" x14ac:dyDescent="0.25">
      <c r="A39" s="27"/>
      <c r="B39" s="11" t="str">
        <f>CONCATENATE("          ", "6116", " - ", "EDUCATIONAL BENEFITS")</f>
        <v xml:space="preserve">          6116 - EDUCATIONAL BENEFITS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7"/>
      <c r="B40" s="11" t="str">
        <f>CONCATENATE("          ", "6118", " - ", "VACATION")</f>
        <v xml:space="preserve">          6118 - VACATION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7"/>
      <c r="B41" s="11" t="str">
        <f>CONCATENATE("          ", "6119", " - ", "SICK LEAVE")</f>
        <v xml:space="preserve">          6119 - SICK LEAVE</v>
      </c>
      <c r="C41" s="11"/>
      <c r="D41" s="7"/>
      <c r="E41" s="2"/>
      <c r="F41" s="6">
        <f t="shared" si="12"/>
        <v>0</v>
      </c>
      <c r="G41" s="2"/>
      <c r="H41" s="7">
        <v>353.25</v>
      </c>
      <c r="I41" s="2"/>
      <c r="J41" s="6">
        <f t="shared" si="13"/>
        <v>4.9028452463566966E-3</v>
      </c>
      <c r="K41" s="2"/>
      <c r="L41" s="7">
        <f t="shared" si="14"/>
        <v>-353.25</v>
      </c>
      <c r="M41" s="2"/>
      <c r="N41" s="6">
        <f t="shared" si="15"/>
        <v>-1</v>
      </c>
      <c r="O41" s="11"/>
      <c r="P41" s="7"/>
      <c r="Q41" s="2"/>
      <c r="R41" s="6">
        <f t="shared" si="16"/>
        <v>0</v>
      </c>
      <c r="S41" s="2"/>
      <c r="T41" s="7">
        <v>1271.7</v>
      </c>
      <c r="U41" s="2"/>
      <c r="V41" s="6">
        <f t="shared" si="17"/>
        <v>6.3081295852616855E-3</v>
      </c>
      <c r="W41" s="2"/>
      <c r="X41" s="7">
        <f t="shared" si="18"/>
        <v>-1271.7</v>
      </c>
      <c r="Y41" s="2"/>
      <c r="Z41" s="6">
        <f t="shared" si="19"/>
        <v>-1</v>
      </c>
    </row>
    <row r="42" spans="1:26" s="28" customFormat="1" outlineLevel="1" collapsed="1" x14ac:dyDescent="0.25">
      <c r="A42" s="29"/>
      <c r="B42" s="14" t="str">
        <f>CONCATENATE("     ","*Payroll                                          ")</f>
        <v xml:space="preserve">     *Payroll                                          </v>
      </c>
      <c r="C42" s="14"/>
      <c r="D42" s="1">
        <f>SUM(OSRRefD22_1x_0)</f>
        <v>5956.91</v>
      </c>
      <c r="E42" s="1"/>
      <c r="F42" s="5">
        <f t="shared" ref="F42:F52" si="20">IF(D$12=0,0,D42/D$12)</f>
        <v>0.23482883096681006</v>
      </c>
      <c r="G42" s="1"/>
      <c r="H42" s="1">
        <f>SUM(OSRRefH22_1x_0)</f>
        <v>10055</v>
      </c>
      <c r="I42" s="1"/>
      <c r="J42" s="5">
        <f t="shared" ref="J42:J52" si="21">IF(H$12=0,0,H42/H$12)</f>
        <v>0.13955586398334491</v>
      </c>
      <c r="K42" s="1"/>
      <c r="L42" s="1">
        <f t="shared" ref="L42:L52" si="22">+D42-H42</f>
        <v>-4098.09</v>
      </c>
      <c r="M42" s="1"/>
      <c r="N42" s="5">
        <f t="shared" ref="N42:N52" si="23">IF(H42=0,0,L42/H42)</f>
        <v>-0.40756737941322724</v>
      </c>
      <c r="O42" s="14"/>
      <c r="P42" s="1">
        <f>SUM(OSRRefP22_1x_0)</f>
        <v>5956.91</v>
      </c>
      <c r="Q42" s="1"/>
      <c r="R42" s="5">
        <f t="shared" ref="R42:R52" si="24">IF(P$12=0,0,P42/P$12)</f>
        <v>8.8195197264412203E-2</v>
      </c>
      <c r="S42" s="1"/>
      <c r="T42" s="1">
        <f>SUM(OSRRefT22_1x_0)</f>
        <v>36198</v>
      </c>
      <c r="U42" s="1"/>
      <c r="V42" s="5">
        <f t="shared" ref="V42:V52" si="25">IF(T$12=0,0,T42/T$12)</f>
        <v>0.1795562433964791</v>
      </c>
      <c r="W42" s="1"/>
      <c r="X42" s="1">
        <f t="shared" ref="X42:X52" si="26">+P42-T42</f>
        <v>-30241.09</v>
      </c>
      <c r="Y42" s="1"/>
      <c r="Z42" s="5">
        <f t="shared" ref="Z42:Z52" si="27">IF(T42=0,0,X42/T42)</f>
        <v>-0.83543538317034094</v>
      </c>
    </row>
    <row r="43" spans="1:26" s="24" customFormat="1" hidden="1" outlineLevel="2" x14ac:dyDescent="0.25">
      <c r="A43" s="27"/>
      <c r="B43" s="11" t="str">
        <f>CONCATENATE("          ", "6001", " - ", "ADMINISTRATIVE SALARIES")</f>
        <v xml:space="preserve">          6001 - ADMINISTRATIVE SALARIES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7"/>
      <c r="B44" s="11" t="str">
        <f>CONCATENATE("          ", "6002", " - ", "STAFF SALARIES")</f>
        <v xml:space="preserve">          6002 - STAFF SALARIES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7"/>
      <c r="B45" s="11" t="str">
        <f>CONCATENATE("          ", "6003", " - ", "STAFF HOURLY-9 MONTH")</f>
        <v xml:space="preserve">          6003 - STAFF HOURLY-9 MONTH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7"/>
      <c r="B46" s="11" t="str">
        <f>CONCATENATE("          ", "6004", " - ", "STAFF HOURLY")</f>
        <v xml:space="preserve">          6004 - STAFF HOURLY</v>
      </c>
      <c r="C46" s="11"/>
      <c r="D46" s="7"/>
      <c r="E46" s="2"/>
      <c r="F46" s="6">
        <f t="shared" si="20"/>
        <v>0</v>
      </c>
      <c r="G46" s="2"/>
      <c r="H46" s="7">
        <v>2280</v>
      </c>
      <c r="I46" s="2"/>
      <c r="J46" s="6">
        <f t="shared" si="21"/>
        <v>3.164469118667592E-2</v>
      </c>
      <c r="K46" s="2"/>
      <c r="L46" s="7">
        <f t="shared" si="22"/>
        <v>-2280</v>
      </c>
      <c r="M46" s="2"/>
      <c r="N46" s="6">
        <f t="shared" si="23"/>
        <v>-1</v>
      </c>
      <c r="O46" s="11"/>
      <c r="P46" s="7"/>
      <c r="Q46" s="2"/>
      <c r="R46" s="6">
        <f t="shared" si="24"/>
        <v>0</v>
      </c>
      <c r="S46" s="2"/>
      <c r="T46" s="7">
        <v>8208</v>
      </c>
      <c r="U46" s="2"/>
      <c r="V46" s="6">
        <f t="shared" si="25"/>
        <v>4.0714891590648672E-2</v>
      </c>
      <c r="W46" s="2"/>
      <c r="X46" s="7">
        <f t="shared" si="26"/>
        <v>-8208</v>
      </c>
      <c r="Y46" s="2"/>
      <c r="Z46" s="6">
        <f t="shared" si="27"/>
        <v>-1</v>
      </c>
    </row>
    <row r="47" spans="1:26" s="24" customFormat="1" hidden="1" outlineLevel="2" x14ac:dyDescent="0.25">
      <c r="A47" s="27"/>
      <c r="B47" s="11" t="str">
        <f>CONCATENATE("          ", "6005", " - ", "TEMPORARY WAGES-HOURLY")</f>
        <v xml:space="preserve">          6005 - TEMPORARY WAGES-HOURLY</v>
      </c>
      <c r="C47" s="11"/>
      <c r="D47" s="7">
        <v>134.81</v>
      </c>
      <c r="E47" s="2"/>
      <c r="F47" s="6">
        <f t="shared" si="20"/>
        <v>5.3143785456949439E-3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134.81</v>
      </c>
      <c r="M47" s="2"/>
      <c r="N47" s="6">
        <f t="shared" si="23"/>
        <v>0</v>
      </c>
      <c r="O47" s="11"/>
      <c r="P47" s="7">
        <v>134.81</v>
      </c>
      <c r="Q47" s="2"/>
      <c r="R47" s="6">
        <f t="shared" si="24"/>
        <v>1.995933217593586E-3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134.81</v>
      </c>
      <c r="Y47" s="2"/>
      <c r="Z47" s="6">
        <f t="shared" si="27"/>
        <v>0</v>
      </c>
    </row>
    <row r="48" spans="1:26" s="24" customFormat="1" hidden="1" outlineLevel="2" x14ac:dyDescent="0.25">
      <c r="A48" s="27"/>
      <c r="B48" s="11" t="str">
        <f>CONCATENATE("          ", "6006", " - ", "TEMPORARY PART TIME")</f>
        <v xml:space="preserve">          6006 - TEMPORARY PART TIME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25">
      <c r="A49" s="27"/>
      <c r="B49" s="11" t="str">
        <f>CONCATENATE("          ", "6007", " - ", "STUDENT HOURLY")</f>
        <v xml:space="preserve">          6007 - STUDENT HOURLY</v>
      </c>
      <c r="C49" s="11"/>
      <c r="D49" s="7">
        <v>5003.49</v>
      </c>
      <c r="E49" s="2"/>
      <c r="F49" s="6">
        <f t="shared" si="20"/>
        <v>0.19724382397150947</v>
      </c>
      <c r="G49" s="2"/>
      <c r="H49" s="7">
        <v>0</v>
      </c>
      <c r="I49" s="2"/>
      <c r="J49" s="6">
        <f t="shared" si="21"/>
        <v>0</v>
      </c>
      <c r="K49" s="2"/>
      <c r="L49" s="7">
        <f t="shared" si="22"/>
        <v>5003.49</v>
      </c>
      <c r="M49" s="2"/>
      <c r="N49" s="6">
        <f t="shared" si="23"/>
        <v>0</v>
      </c>
      <c r="O49" s="11"/>
      <c r="P49" s="7">
        <v>5003.49</v>
      </c>
      <c r="Q49" s="2"/>
      <c r="R49" s="6">
        <f t="shared" si="24"/>
        <v>7.4079310844131233E-2</v>
      </c>
      <c r="S49" s="2"/>
      <c r="T49" s="7">
        <v>13995</v>
      </c>
      <c r="U49" s="2"/>
      <c r="V49" s="6">
        <f t="shared" si="25"/>
        <v>6.9420675902915216E-2</v>
      </c>
      <c r="W49" s="2"/>
      <c r="X49" s="7">
        <f t="shared" si="26"/>
        <v>-8991.51</v>
      </c>
      <c r="Y49" s="2"/>
      <c r="Z49" s="6">
        <f t="shared" si="27"/>
        <v>-0.64248017148981784</v>
      </c>
    </row>
    <row r="50" spans="1:26" s="24" customFormat="1" hidden="1" outlineLevel="2" x14ac:dyDescent="0.25">
      <c r="A50" s="27"/>
      <c r="B50" s="11" t="str">
        <f>CONCATENATE("          ", "6008", " - ", "STUDENT HOURLY-FICA EXEMPT")</f>
        <v xml:space="preserve">          6008 - STUDENT HOURLY-FICA EXEMPT</v>
      </c>
      <c r="C50" s="11"/>
      <c r="D50" s="7">
        <v>818.61</v>
      </c>
      <c r="E50" s="2"/>
      <c r="F50" s="6">
        <f t="shared" si="20"/>
        <v>3.2270628449605654E-2</v>
      </c>
      <c r="G50" s="2"/>
      <c r="H50" s="7">
        <v>7775</v>
      </c>
      <c r="I50" s="2"/>
      <c r="J50" s="6">
        <f t="shared" si="21"/>
        <v>0.10791117279666898</v>
      </c>
      <c r="K50" s="2"/>
      <c r="L50" s="7">
        <f t="shared" si="22"/>
        <v>-6956.39</v>
      </c>
      <c r="M50" s="2"/>
      <c r="N50" s="6">
        <f t="shared" si="23"/>
        <v>-0.89471254019292612</v>
      </c>
      <c r="O50" s="11"/>
      <c r="P50" s="7">
        <v>818.61</v>
      </c>
      <c r="Q50" s="2"/>
      <c r="R50" s="6">
        <f t="shared" si="24"/>
        <v>1.211995320268738E-2</v>
      </c>
      <c r="S50" s="2"/>
      <c r="T50" s="7">
        <v>13995</v>
      </c>
      <c r="U50" s="2"/>
      <c r="V50" s="6">
        <f t="shared" si="25"/>
        <v>6.9420675902915216E-2</v>
      </c>
      <c r="W50" s="2"/>
      <c r="X50" s="7">
        <f t="shared" si="26"/>
        <v>-13176.39</v>
      </c>
      <c r="Y50" s="2"/>
      <c r="Z50" s="6">
        <f t="shared" si="27"/>
        <v>-0.94150696677384771</v>
      </c>
    </row>
    <row r="51" spans="1:26" s="24" customFormat="1" hidden="1" outlineLevel="2" x14ac:dyDescent="0.25">
      <c r="A51" s="27"/>
      <c r="B51" s="11" t="str">
        <f>CONCATENATE("          ", "6009", " - ", "TEMPORARY-SEASONAL")</f>
        <v xml:space="preserve">          6009 - TEMPORARY-SEASONAL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4" customFormat="1" hidden="1" outlineLevel="2" x14ac:dyDescent="0.25">
      <c r="A52" s="27"/>
      <c r="B52" s="11" t="str">
        <f>CONCATENATE("          ", "6010", " - ", "GRATUITY")</f>
        <v xml:space="preserve">          6010 - GRATUITY</v>
      </c>
      <c r="C52" s="11"/>
      <c r="D52" s="7"/>
      <c r="E52" s="2"/>
      <c r="F52" s="6">
        <f t="shared" si="20"/>
        <v>0</v>
      </c>
      <c r="G52" s="2"/>
      <c r="H52" s="7">
        <v>0</v>
      </c>
      <c r="I52" s="2"/>
      <c r="J52" s="6">
        <f t="shared" si="21"/>
        <v>0</v>
      </c>
      <c r="K52" s="2"/>
      <c r="L52" s="7">
        <f t="shared" si="22"/>
        <v>0</v>
      </c>
      <c r="M52" s="2"/>
      <c r="N52" s="6">
        <f t="shared" si="23"/>
        <v>0</v>
      </c>
      <c r="O52" s="11"/>
      <c r="P52" s="7"/>
      <c r="Q52" s="2"/>
      <c r="R52" s="6">
        <f t="shared" si="24"/>
        <v>0</v>
      </c>
      <c r="S52" s="2"/>
      <c r="T52" s="7">
        <v>0</v>
      </c>
      <c r="U52" s="2"/>
      <c r="V52" s="6">
        <f t="shared" si="25"/>
        <v>0</v>
      </c>
      <c r="W52" s="2"/>
      <c r="X52" s="7">
        <f t="shared" si="26"/>
        <v>0</v>
      </c>
      <c r="Y52" s="2"/>
      <c r="Z52" s="6">
        <f t="shared" si="27"/>
        <v>0</v>
      </c>
    </row>
    <row r="53" spans="1:26" s="28" customFormat="1" outlineLevel="1" collapsed="1" x14ac:dyDescent="0.25">
      <c r="A53" s="29"/>
      <c r="B53" s="14" t="str">
        <f>CONCATENATE("     ","Advertising/Promo                                 ")</f>
        <v xml:space="preserve">     Advertising/Promo                                 </v>
      </c>
      <c r="C53" s="14"/>
      <c r="D53" s="1">
        <f>SUM(OSRRefD22_2x_0)</f>
        <v>15.88</v>
      </c>
      <c r="E53" s="1"/>
      <c r="F53" s="5">
        <f t="shared" ref="F53:F61" si="28">IF(D$12=0,0,D53/D$12)</f>
        <v>6.2600943035112904E-4</v>
      </c>
      <c r="G53" s="1"/>
      <c r="H53" s="1">
        <f>SUM(OSRRefH22_2x_0)</f>
        <v>50</v>
      </c>
      <c r="I53" s="1"/>
      <c r="J53" s="5">
        <f t="shared" ref="J53:J61" si="29">IF(H$12=0,0,H53/H$12)</f>
        <v>6.939625260235947E-4</v>
      </c>
      <c r="K53" s="1"/>
      <c r="L53" s="1">
        <f t="shared" ref="L53:L61" si="30">+D53-H53</f>
        <v>-34.119999999999997</v>
      </c>
      <c r="M53" s="1"/>
      <c r="N53" s="5">
        <f t="shared" ref="N53:N61" si="31">IF(H53=0,0,L53/H53)</f>
        <v>-0.6823999999999999</v>
      </c>
      <c r="O53" s="14"/>
      <c r="P53" s="1">
        <f>SUM(OSRRefP22_2x_0)</f>
        <v>168.8</v>
      </c>
      <c r="Q53" s="1"/>
      <c r="R53" s="5">
        <f t="shared" ref="R53:R61" si="32">IF(P$12=0,0,P53/P$12)</f>
        <v>2.4991731112662071E-3</v>
      </c>
      <c r="S53" s="1"/>
      <c r="T53" s="1">
        <f>SUM(OSRRefT22_2x_0)</f>
        <v>200</v>
      </c>
      <c r="U53" s="1"/>
      <c r="V53" s="5">
        <f t="shared" ref="V53:V61" si="33">IF(T$12=0,0,T53/T$12)</f>
        <v>9.9207825513276493E-4</v>
      </c>
      <c r="W53" s="1"/>
      <c r="X53" s="1">
        <f t="shared" ref="X53:X61" si="34">+P53-T53</f>
        <v>-31.199999999999989</v>
      </c>
      <c r="Y53" s="1"/>
      <c r="Z53" s="5">
        <f t="shared" ref="Z53:Z61" si="35">IF(T53=0,0,X53/T53)</f>
        <v>-0.15599999999999994</v>
      </c>
    </row>
    <row r="54" spans="1:26" s="24" customFormat="1" hidden="1" outlineLevel="2" x14ac:dyDescent="0.25">
      <c r="A54" s="27"/>
      <c r="B54" s="11" t="str">
        <f>CONCATENATE("          ", "6362", " - ", "ADVERTISING EXPENSE")</f>
        <v xml:space="preserve">          6362 - ADVERTISING EXPENSE</v>
      </c>
      <c r="C54" s="11"/>
      <c r="D54" s="7">
        <v>15.88</v>
      </c>
      <c r="E54" s="2"/>
      <c r="F54" s="6">
        <f t="shared" si="28"/>
        <v>6.2600943035112904E-4</v>
      </c>
      <c r="G54" s="2"/>
      <c r="H54" s="7">
        <v>50</v>
      </c>
      <c r="I54" s="2"/>
      <c r="J54" s="6">
        <f t="shared" si="29"/>
        <v>6.939625260235947E-4</v>
      </c>
      <c r="K54" s="2"/>
      <c r="L54" s="7">
        <f t="shared" si="30"/>
        <v>-34.119999999999997</v>
      </c>
      <c r="M54" s="2"/>
      <c r="N54" s="6">
        <f t="shared" si="31"/>
        <v>-0.6823999999999999</v>
      </c>
      <c r="O54" s="11"/>
      <c r="P54" s="7">
        <v>168.8</v>
      </c>
      <c r="Q54" s="2"/>
      <c r="R54" s="6">
        <f t="shared" si="32"/>
        <v>2.4991731112662071E-3</v>
      </c>
      <c r="S54" s="2"/>
      <c r="T54" s="7">
        <v>200</v>
      </c>
      <c r="U54" s="2"/>
      <c r="V54" s="6">
        <f t="shared" si="33"/>
        <v>9.9207825513276493E-4</v>
      </c>
      <c r="W54" s="2"/>
      <c r="X54" s="7">
        <f t="shared" si="34"/>
        <v>-31.199999999999989</v>
      </c>
      <c r="Y54" s="2"/>
      <c r="Z54" s="6">
        <f t="shared" si="35"/>
        <v>-0.15599999999999994</v>
      </c>
    </row>
    <row r="55" spans="1:26" s="28" customFormat="1" outlineLevel="1" collapsed="1" x14ac:dyDescent="0.25">
      <c r="A55" s="29"/>
      <c r="B55" s="14" t="str">
        <f>CONCATENATE("     ","Bad Debts/Over/Short                              ")</f>
        <v xml:space="preserve">     Bad Debts/Over/Short                              </v>
      </c>
      <c r="C55" s="14"/>
      <c r="D55" s="1">
        <f>SUM(OSRRefD22_3x_0)</f>
        <v>0.44</v>
      </c>
      <c r="E55" s="1"/>
      <c r="F55" s="5">
        <f t="shared" si="28"/>
        <v>1.7345349455572844E-5</v>
      </c>
      <c r="G55" s="1"/>
      <c r="H55" s="1">
        <f>SUM(OSRRefH22_3x_0)</f>
        <v>25</v>
      </c>
      <c r="I55" s="1"/>
      <c r="J55" s="5">
        <f t="shared" si="29"/>
        <v>3.4698126301179735E-4</v>
      </c>
      <c r="K55" s="1"/>
      <c r="L55" s="1">
        <f t="shared" si="30"/>
        <v>-24.56</v>
      </c>
      <c r="M55" s="1"/>
      <c r="N55" s="5">
        <f t="shared" si="31"/>
        <v>-0.98239999999999994</v>
      </c>
      <c r="O55" s="14"/>
      <c r="P55" s="1">
        <f>SUM(OSRRefP22_3x_0)</f>
        <v>-2.89</v>
      </c>
      <c r="Q55" s="1"/>
      <c r="R55" s="5">
        <f t="shared" si="32"/>
        <v>-4.2787975660896552E-5</v>
      </c>
      <c r="S55" s="1"/>
      <c r="T55" s="1">
        <f>SUM(OSRRefT22_3x_0)</f>
        <v>100</v>
      </c>
      <c r="U55" s="1"/>
      <c r="V55" s="5">
        <f t="shared" si="33"/>
        <v>4.9603912756638246E-4</v>
      </c>
      <c r="W55" s="1"/>
      <c r="X55" s="1">
        <f t="shared" si="34"/>
        <v>-102.89</v>
      </c>
      <c r="Y55" s="1"/>
      <c r="Z55" s="5">
        <f t="shared" si="35"/>
        <v>-1.0288999999999999</v>
      </c>
    </row>
    <row r="56" spans="1:26" s="24" customFormat="1" hidden="1" outlineLevel="2" x14ac:dyDescent="0.25">
      <c r="A56" s="27"/>
      <c r="B56" s="11" t="str">
        <f>CONCATENATE("          ", "6272", " - ", "CASH (OVER/SHORT)")</f>
        <v xml:space="preserve">          6272 - CASH (OVER/SHORT)</v>
      </c>
      <c r="C56" s="11"/>
      <c r="D56" s="7">
        <v>0.44</v>
      </c>
      <c r="E56" s="2"/>
      <c r="F56" s="6">
        <f t="shared" si="28"/>
        <v>1.7345349455572844E-5</v>
      </c>
      <c r="G56" s="2"/>
      <c r="H56" s="7">
        <v>25</v>
      </c>
      <c r="I56" s="2"/>
      <c r="J56" s="6">
        <f t="shared" si="29"/>
        <v>3.4698126301179735E-4</v>
      </c>
      <c r="K56" s="2"/>
      <c r="L56" s="7">
        <f t="shared" si="30"/>
        <v>-24.56</v>
      </c>
      <c r="M56" s="2"/>
      <c r="N56" s="6">
        <f t="shared" si="31"/>
        <v>-0.98239999999999994</v>
      </c>
      <c r="O56" s="11"/>
      <c r="P56" s="7">
        <v>-2.89</v>
      </c>
      <c r="Q56" s="2"/>
      <c r="R56" s="6">
        <f t="shared" si="32"/>
        <v>-4.2787975660896552E-5</v>
      </c>
      <c r="S56" s="2"/>
      <c r="T56" s="7">
        <v>100</v>
      </c>
      <c r="U56" s="2"/>
      <c r="V56" s="6">
        <f t="shared" si="33"/>
        <v>4.9603912756638246E-4</v>
      </c>
      <c r="W56" s="2"/>
      <c r="X56" s="7">
        <f t="shared" si="34"/>
        <v>-102.89</v>
      </c>
      <c r="Y56" s="2"/>
      <c r="Z56" s="6">
        <f t="shared" si="35"/>
        <v>-1.0288999999999999</v>
      </c>
    </row>
    <row r="57" spans="1:26" s="28" customFormat="1" outlineLevel="1" collapsed="1" x14ac:dyDescent="0.25">
      <c r="A57" s="29"/>
      <c r="B57" s="14" t="str">
        <f>CONCATENATE("     ","Bank/card Fees                                    ")</f>
        <v xml:space="preserve">     Bank/card Fees                                    </v>
      </c>
      <c r="C57" s="14"/>
      <c r="D57" s="1">
        <f>SUM(OSRRefD22_4x_0)</f>
        <v>0</v>
      </c>
      <c r="E57" s="1"/>
      <c r="F57" s="5">
        <f t="shared" si="28"/>
        <v>0</v>
      </c>
      <c r="G57" s="1"/>
      <c r="H57" s="1">
        <f>SUM(OSRRefH22_4x_0)</f>
        <v>1319</v>
      </c>
      <c r="I57" s="1"/>
      <c r="J57" s="5">
        <f t="shared" si="29"/>
        <v>1.8306731436502428E-2</v>
      </c>
      <c r="K57" s="1"/>
      <c r="L57" s="1">
        <f t="shared" si="30"/>
        <v>-1319</v>
      </c>
      <c r="M57" s="1"/>
      <c r="N57" s="5">
        <f t="shared" si="31"/>
        <v>-1</v>
      </c>
      <c r="O57" s="14"/>
      <c r="P57" s="1">
        <f>SUM(OSRRefP22_4x_0)</f>
        <v>0</v>
      </c>
      <c r="Q57" s="1"/>
      <c r="R57" s="5">
        <f t="shared" si="32"/>
        <v>0</v>
      </c>
      <c r="S57" s="1"/>
      <c r="T57" s="1">
        <f>SUM(OSRRefT22_4x_0)</f>
        <v>3766</v>
      </c>
      <c r="U57" s="1"/>
      <c r="V57" s="5">
        <f t="shared" si="33"/>
        <v>1.8680833544149962E-2</v>
      </c>
      <c r="W57" s="1"/>
      <c r="X57" s="1">
        <f t="shared" si="34"/>
        <v>-3766</v>
      </c>
      <c r="Y57" s="1"/>
      <c r="Z57" s="5">
        <f t="shared" si="35"/>
        <v>-1</v>
      </c>
    </row>
    <row r="58" spans="1:26" s="24" customFormat="1" hidden="1" outlineLevel="2" x14ac:dyDescent="0.25">
      <c r="A58" s="27"/>
      <c r="B58" s="11" t="str">
        <f>CONCATENATE("          ", "6381", " - ", "BANK/CREDIT CARD FEES")</f>
        <v xml:space="preserve">          6381 - BANK/CREDIT CARD FEES</v>
      </c>
      <c r="C58" s="11"/>
      <c r="D58" s="7"/>
      <c r="E58" s="2"/>
      <c r="F58" s="6">
        <f t="shared" si="28"/>
        <v>0</v>
      </c>
      <c r="G58" s="2"/>
      <c r="H58" s="7">
        <v>1319</v>
      </c>
      <c r="I58" s="2"/>
      <c r="J58" s="6">
        <f t="shared" si="29"/>
        <v>1.8306731436502428E-2</v>
      </c>
      <c r="K58" s="2"/>
      <c r="L58" s="7">
        <f t="shared" si="30"/>
        <v>-1319</v>
      </c>
      <c r="M58" s="2"/>
      <c r="N58" s="6">
        <f t="shared" si="31"/>
        <v>-1</v>
      </c>
      <c r="O58" s="11"/>
      <c r="P58" s="7"/>
      <c r="Q58" s="2"/>
      <c r="R58" s="6">
        <f t="shared" si="32"/>
        <v>0</v>
      </c>
      <c r="S58" s="2"/>
      <c r="T58" s="7">
        <v>3766</v>
      </c>
      <c r="U58" s="2"/>
      <c r="V58" s="6">
        <f t="shared" si="33"/>
        <v>1.8680833544149962E-2</v>
      </c>
      <c r="W58" s="2"/>
      <c r="X58" s="7">
        <f t="shared" si="34"/>
        <v>-3766</v>
      </c>
      <c r="Y58" s="2"/>
      <c r="Z58" s="6">
        <f t="shared" si="35"/>
        <v>-1</v>
      </c>
    </row>
    <row r="59" spans="1:26" s="28" customFormat="1" outlineLevel="1" collapsed="1" x14ac:dyDescent="0.25">
      <c r="A59" s="29"/>
      <c r="B59" s="14" t="str">
        <f>CONCATENATE("     ","Discounts and Markdowns                           ")</f>
        <v xml:space="preserve">     Discounts and Markdowns                           </v>
      </c>
      <c r="C59" s="14"/>
      <c r="D59" s="1">
        <f>SUM(OSRRefD22_5x_0)</f>
        <v>-43.54</v>
      </c>
      <c r="E59" s="1"/>
      <c r="F59" s="5">
        <f t="shared" si="28"/>
        <v>-1.7164011711264583E-3</v>
      </c>
      <c r="G59" s="1"/>
      <c r="H59" s="1">
        <f>SUM(OSRRefH22_5x_0)</f>
        <v>0</v>
      </c>
      <c r="I59" s="1"/>
      <c r="J59" s="5">
        <f t="shared" si="29"/>
        <v>0</v>
      </c>
      <c r="K59" s="1"/>
      <c r="L59" s="1">
        <f t="shared" si="30"/>
        <v>-43.54</v>
      </c>
      <c r="M59" s="1"/>
      <c r="N59" s="5">
        <f t="shared" si="31"/>
        <v>0</v>
      </c>
      <c r="O59" s="14"/>
      <c r="P59" s="1">
        <f>SUM(OSRRefP22_5x_0)</f>
        <v>-43.54</v>
      </c>
      <c r="Q59" s="1"/>
      <c r="R59" s="5">
        <f t="shared" si="32"/>
        <v>-6.4463268521641379E-4</v>
      </c>
      <c r="S59" s="1"/>
      <c r="T59" s="1">
        <f>SUM(OSRRefT22_5x_0)</f>
        <v>0</v>
      </c>
      <c r="U59" s="1"/>
      <c r="V59" s="5">
        <f t="shared" si="33"/>
        <v>0</v>
      </c>
      <c r="W59" s="1"/>
      <c r="X59" s="1">
        <f t="shared" si="34"/>
        <v>-43.54</v>
      </c>
      <c r="Y59" s="1"/>
      <c r="Z59" s="5">
        <f t="shared" si="35"/>
        <v>0</v>
      </c>
    </row>
    <row r="60" spans="1:26" s="24" customFormat="1" hidden="1" outlineLevel="2" x14ac:dyDescent="0.25">
      <c r="A60" s="27"/>
      <c r="B60" s="11" t="str">
        <f>CONCATENATE("          ", "6382", " - ", "DISCOUNTS/MARK DOWNS")</f>
        <v xml:space="preserve">          6382 - DISCOUNTS/MARK DOWNS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/>
      <c r="Q60" s="2"/>
      <c r="R60" s="6">
        <f t="shared" si="32"/>
        <v>0</v>
      </c>
      <c r="S60" s="2"/>
      <c r="T60" s="7">
        <v>0</v>
      </c>
      <c r="U60" s="2"/>
      <c r="V60" s="6">
        <f t="shared" si="33"/>
        <v>0</v>
      </c>
      <c r="W60" s="2"/>
      <c r="X60" s="7">
        <f t="shared" si="34"/>
        <v>0</v>
      </c>
      <c r="Y60" s="2"/>
      <c r="Z60" s="6">
        <f t="shared" si="35"/>
        <v>0</v>
      </c>
    </row>
    <row r="61" spans="1:26" s="24" customFormat="1" hidden="1" outlineLevel="2" x14ac:dyDescent="0.25">
      <c r="A61" s="27"/>
      <c r="B61" s="11" t="str">
        <f>CONCATENATE("          ", "9175", " - ", "EARNED DISCOUNTS")</f>
        <v xml:space="preserve">          9175 - EARNED DISCOUNTS</v>
      </c>
      <c r="C61" s="11"/>
      <c r="D61" s="7">
        <v>-43.54</v>
      </c>
      <c r="E61" s="2"/>
      <c r="F61" s="6">
        <f t="shared" si="28"/>
        <v>-1.7164011711264583E-3</v>
      </c>
      <c r="G61" s="2"/>
      <c r="H61" s="7"/>
      <c r="I61" s="2"/>
      <c r="J61" s="6">
        <f t="shared" si="29"/>
        <v>0</v>
      </c>
      <c r="K61" s="2"/>
      <c r="L61" s="7">
        <f t="shared" si="30"/>
        <v>-43.54</v>
      </c>
      <c r="M61" s="2"/>
      <c r="N61" s="6">
        <f t="shared" si="31"/>
        <v>0</v>
      </c>
      <c r="O61" s="11"/>
      <c r="P61" s="7">
        <v>-43.54</v>
      </c>
      <c r="Q61" s="2"/>
      <c r="R61" s="6">
        <f t="shared" si="32"/>
        <v>-6.4463268521641379E-4</v>
      </c>
      <c r="S61" s="2"/>
      <c r="T61" s="7"/>
      <c r="U61" s="2"/>
      <c r="V61" s="6">
        <f t="shared" si="33"/>
        <v>0</v>
      </c>
      <c r="W61" s="2"/>
      <c r="X61" s="7">
        <f t="shared" si="34"/>
        <v>-43.54</v>
      </c>
      <c r="Y61" s="2"/>
      <c r="Z61" s="6">
        <f t="shared" si="35"/>
        <v>0</v>
      </c>
    </row>
    <row r="62" spans="1:26" s="28" customFormat="1" outlineLevel="1" collapsed="1" x14ac:dyDescent="0.25">
      <c r="A62" s="29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SUM(OSRRefD22_6x_0)</f>
        <v>0</v>
      </c>
      <c r="E62" s="1"/>
      <c r="F62" s="5">
        <f t="shared" ref="F62:F70" si="36">IF(D$12=0,0,D62/D$12)</f>
        <v>0</v>
      </c>
      <c r="G62" s="1"/>
      <c r="H62" s="1">
        <f>SUM(OSRRefH22_6x_0)</f>
        <v>0</v>
      </c>
      <c r="I62" s="1"/>
      <c r="J62" s="5">
        <f t="shared" ref="J62:J70" si="37">IF(H$12=0,0,H62/H$12)</f>
        <v>0</v>
      </c>
      <c r="K62" s="1"/>
      <c r="L62" s="1">
        <f t="shared" ref="L62:L70" si="38">+D62-H62</f>
        <v>0</v>
      </c>
      <c r="M62" s="1"/>
      <c r="N62" s="5">
        <f t="shared" ref="N62:N70" si="39">IF(H62=0,0,L62/H62)</f>
        <v>0</v>
      </c>
      <c r="O62" s="14"/>
      <c r="P62" s="1">
        <f>SUM(OSRRefP22_6x_0)</f>
        <v>54.5</v>
      </c>
      <c r="Q62" s="1"/>
      <c r="R62" s="5">
        <f t="shared" ref="R62:R70" si="40">IF(P$12=0,0,P62/P$12)</f>
        <v>8.0690127111379304E-4</v>
      </c>
      <c r="S62" s="1"/>
      <c r="T62" s="1">
        <f>SUM(OSRRefT22_6x_0)</f>
        <v>0</v>
      </c>
      <c r="U62" s="1"/>
      <c r="V62" s="5">
        <f t="shared" ref="V62:V70" si="41">IF(T$12=0,0,T62/T$12)</f>
        <v>0</v>
      </c>
      <c r="W62" s="1"/>
      <c r="X62" s="1">
        <f t="shared" ref="X62:X70" si="42">+P62-T62</f>
        <v>54.5</v>
      </c>
      <c r="Y62" s="1"/>
      <c r="Z62" s="5">
        <f t="shared" ref="Z62:Z70" si="43">IF(T62=0,0,X62/T62)</f>
        <v>0</v>
      </c>
    </row>
    <row r="63" spans="1:26" s="24" customFormat="1" hidden="1" outlineLevel="2" x14ac:dyDescent="0.25">
      <c r="A63" s="27"/>
      <c r="B63" s="11" t="str">
        <f>CONCATENATE("          ", "6307", " - ", "POSTAGE")</f>
        <v xml:space="preserve">          6307 - POSTAGE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54.5</v>
      </c>
      <c r="Q63" s="2"/>
      <c r="R63" s="6">
        <f t="shared" si="40"/>
        <v>8.0690127111379304E-4</v>
      </c>
      <c r="S63" s="2"/>
      <c r="T63" s="7"/>
      <c r="U63" s="2"/>
      <c r="V63" s="6">
        <f t="shared" si="41"/>
        <v>0</v>
      </c>
      <c r="W63" s="2"/>
      <c r="X63" s="7">
        <f t="shared" si="42"/>
        <v>54.5</v>
      </c>
      <c r="Y63" s="2"/>
      <c r="Z63" s="6">
        <f t="shared" si="43"/>
        <v>0</v>
      </c>
    </row>
    <row r="64" spans="1:26" s="28" customFormat="1" outlineLevel="1" collapsed="1" x14ac:dyDescent="0.25">
      <c r="A64" s="29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SUM(OSRRefD22_7x_0)</f>
        <v>0</v>
      </c>
      <c r="E64" s="1"/>
      <c r="F64" s="5">
        <f t="shared" si="36"/>
        <v>0</v>
      </c>
      <c r="G64" s="1"/>
      <c r="H64" s="1">
        <f>SUM(OSRRefH22_7x_0)</f>
        <v>0</v>
      </c>
      <c r="I64" s="1"/>
      <c r="J64" s="5">
        <f t="shared" si="37"/>
        <v>0</v>
      </c>
      <c r="K64" s="1"/>
      <c r="L64" s="1">
        <f t="shared" si="38"/>
        <v>0</v>
      </c>
      <c r="M64" s="1"/>
      <c r="N64" s="5">
        <f t="shared" si="39"/>
        <v>0</v>
      </c>
      <c r="O64" s="14"/>
      <c r="P64" s="1">
        <f>SUM(OSRRefP22_7x_0)</f>
        <v>228.04</v>
      </c>
      <c r="Q64" s="1"/>
      <c r="R64" s="5">
        <f t="shared" si="40"/>
        <v>3.3762525846750342E-3</v>
      </c>
      <c r="S64" s="1"/>
      <c r="T64" s="1">
        <f>SUM(OSRRefT22_7x_0)</f>
        <v>0</v>
      </c>
      <c r="U64" s="1"/>
      <c r="V64" s="5">
        <f t="shared" si="41"/>
        <v>0</v>
      </c>
      <c r="W64" s="1"/>
      <c r="X64" s="1">
        <f t="shared" si="42"/>
        <v>228.04</v>
      </c>
      <c r="Y64" s="1"/>
      <c r="Z64" s="5">
        <f t="shared" si="43"/>
        <v>0</v>
      </c>
    </row>
    <row r="65" spans="1:26" s="24" customFormat="1" hidden="1" outlineLevel="2" x14ac:dyDescent="0.25">
      <c r="A65" s="27"/>
      <c r="B65" s="11" t="str">
        <f>CONCATENATE("          ", "6279", " - ", "GENERAL EXPENSE")</f>
        <v xml:space="preserve">          6279 - GENERAL EXPENSE</v>
      </c>
      <c r="C65" s="11"/>
      <c r="D65" s="7"/>
      <c r="E65" s="2"/>
      <c r="F65" s="6">
        <f t="shared" si="36"/>
        <v>0</v>
      </c>
      <c r="G65" s="2"/>
      <c r="H65" s="7">
        <v>0</v>
      </c>
      <c r="I65" s="2"/>
      <c r="J65" s="6">
        <f t="shared" si="37"/>
        <v>0</v>
      </c>
      <c r="K65" s="2"/>
      <c r="L65" s="7">
        <f t="shared" si="38"/>
        <v>0</v>
      </c>
      <c r="M65" s="2"/>
      <c r="N65" s="6">
        <f t="shared" si="39"/>
        <v>0</v>
      </c>
      <c r="O65" s="11"/>
      <c r="P65" s="7">
        <v>228.04</v>
      </c>
      <c r="Q65" s="2"/>
      <c r="R65" s="6">
        <f t="shared" si="40"/>
        <v>3.3762525846750342E-3</v>
      </c>
      <c r="S65" s="2"/>
      <c r="T65" s="7">
        <v>0</v>
      </c>
      <c r="U65" s="2"/>
      <c r="V65" s="6">
        <f t="shared" si="41"/>
        <v>0</v>
      </c>
      <c r="W65" s="2"/>
      <c r="X65" s="7">
        <f t="shared" si="42"/>
        <v>228.04</v>
      </c>
      <c r="Y65" s="2"/>
      <c r="Z65" s="6">
        <f t="shared" si="43"/>
        <v>0</v>
      </c>
    </row>
    <row r="66" spans="1:26" s="28" customFormat="1" outlineLevel="1" collapsed="1" x14ac:dyDescent="0.25">
      <c r="A66" s="29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SUM(OSRRefD22_8x_0)</f>
        <v>650</v>
      </c>
      <c r="E66" s="1"/>
      <c r="F66" s="5">
        <f t="shared" si="36"/>
        <v>2.562381169573261E-2</v>
      </c>
      <c r="G66" s="1"/>
      <c r="H66" s="1">
        <f>SUM(OSRRefH22_8x_0)</f>
        <v>650</v>
      </c>
      <c r="I66" s="1"/>
      <c r="J66" s="5">
        <f t="shared" si="37"/>
        <v>9.021512838306732E-3</v>
      </c>
      <c r="K66" s="1"/>
      <c r="L66" s="1">
        <f t="shared" si="38"/>
        <v>0</v>
      </c>
      <c r="M66" s="1"/>
      <c r="N66" s="5">
        <f t="shared" si="39"/>
        <v>0</v>
      </c>
      <c r="O66" s="14"/>
      <c r="P66" s="1">
        <f>SUM(OSRRefP22_8x_0)</f>
        <v>2600</v>
      </c>
      <c r="Q66" s="1"/>
      <c r="R66" s="5">
        <f t="shared" si="40"/>
        <v>3.8494372566896549E-2</v>
      </c>
      <c r="S66" s="1"/>
      <c r="T66" s="1">
        <f>SUM(OSRRefT22_8x_0)</f>
        <v>2600</v>
      </c>
      <c r="U66" s="1"/>
      <c r="V66" s="5">
        <f t="shared" si="41"/>
        <v>1.2897017316725943E-2</v>
      </c>
      <c r="W66" s="1"/>
      <c r="X66" s="1">
        <f t="shared" si="42"/>
        <v>0</v>
      </c>
      <c r="Y66" s="1"/>
      <c r="Z66" s="5">
        <f t="shared" si="43"/>
        <v>0</v>
      </c>
    </row>
    <row r="67" spans="1:26" s="24" customFormat="1" hidden="1" outlineLevel="2" x14ac:dyDescent="0.25">
      <c r="A67" s="27"/>
      <c r="B67" s="11" t="str">
        <f>CONCATENATE("          ", "6408", " - ", "INVENTORY ADJUSTMENT")</f>
        <v xml:space="preserve">          6408 - INVENTORY ADJUSTMENT</v>
      </c>
      <c r="C67" s="11"/>
      <c r="D67" s="7">
        <v>650</v>
      </c>
      <c r="E67" s="2"/>
      <c r="F67" s="6">
        <f t="shared" si="36"/>
        <v>2.562381169573261E-2</v>
      </c>
      <c r="G67" s="2"/>
      <c r="H67" s="7">
        <v>650</v>
      </c>
      <c r="I67" s="2"/>
      <c r="J67" s="6">
        <f t="shared" si="37"/>
        <v>9.021512838306732E-3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>
        <v>2600</v>
      </c>
      <c r="Q67" s="2"/>
      <c r="R67" s="6">
        <f t="shared" si="40"/>
        <v>3.8494372566896549E-2</v>
      </c>
      <c r="S67" s="2"/>
      <c r="T67" s="7">
        <v>2600</v>
      </c>
      <c r="U67" s="2"/>
      <c r="V67" s="6">
        <f t="shared" si="41"/>
        <v>1.2897017316725943E-2</v>
      </c>
      <c r="W67" s="2"/>
      <c r="X67" s="7">
        <f t="shared" si="42"/>
        <v>0</v>
      </c>
      <c r="Y67" s="2"/>
      <c r="Z67" s="6">
        <f t="shared" si="43"/>
        <v>0</v>
      </c>
    </row>
    <row r="68" spans="1:26" s="28" customFormat="1" outlineLevel="1" collapsed="1" x14ac:dyDescent="0.25">
      <c r="A68" s="29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SUM(OSRRefD22_9x_0)</f>
        <v>9.5399999999999991</v>
      </c>
      <c r="E68" s="1"/>
      <c r="F68" s="5">
        <f t="shared" si="36"/>
        <v>3.7607871319582939E-4</v>
      </c>
      <c r="G68" s="1"/>
      <c r="H68" s="1">
        <f>SUM(OSRRefH22_9x_0)</f>
        <v>0</v>
      </c>
      <c r="I68" s="1"/>
      <c r="J68" s="5">
        <f t="shared" si="37"/>
        <v>0</v>
      </c>
      <c r="K68" s="1"/>
      <c r="L68" s="1">
        <f t="shared" si="38"/>
        <v>9.5399999999999991</v>
      </c>
      <c r="M68" s="1"/>
      <c r="N68" s="5">
        <f t="shared" si="39"/>
        <v>0</v>
      </c>
      <c r="O68" s="14"/>
      <c r="P68" s="1">
        <f>SUM(OSRRefP22_9x_0)</f>
        <v>244.32999999999998</v>
      </c>
      <c r="Q68" s="1"/>
      <c r="R68" s="5">
        <f t="shared" si="40"/>
        <v>3.6174346343345516E-3</v>
      </c>
      <c r="S68" s="1"/>
      <c r="T68" s="1">
        <f>SUM(OSRRefT22_9x_0)</f>
        <v>0</v>
      </c>
      <c r="U68" s="1"/>
      <c r="V68" s="5">
        <f t="shared" si="41"/>
        <v>0</v>
      </c>
      <c r="W68" s="1"/>
      <c r="X68" s="1">
        <f t="shared" si="42"/>
        <v>244.32999999999998</v>
      </c>
      <c r="Y68" s="1"/>
      <c r="Z68" s="5">
        <f t="shared" si="43"/>
        <v>0</v>
      </c>
    </row>
    <row r="69" spans="1:26" s="24" customFormat="1" hidden="1" outlineLevel="2" x14ac:dyDescent="0.25">
      <c r="A69" s="27"/>
      <c r="B69" s="11" t="str">
        <f>CONCATENATE("          ", "6373", " - ", "MAINTENANCE CONTRACTS")</f>
        <v xml:space="preserve">          6373 - MAINTENANCE CONTRACTS</v>
      </c>
      <c r="C69" s="11"/>
      <c r="D69" s="7"/>
      <c r="E69" s="2"/>
      <c r="F69" s="6">
        <f t="shared" si="36"/>
        <v>0</v>
      </c>
      <c r="G69" s="2"/>
      <c r="H69" s="7"/>
      <c r="I69" s="2"/>
      <c r="J69" s="6">
        <f t="shared" si="37"/>
        <v>0</v>
      </c>
      <c r="K69" s="2"/>
      <c r="L69" s="7">
        <f t="shared" si="38"/>
        <v>0</v>
      </c>
      <c r="M69" s="2"/>
      <c r="N69" s="6">
        <f t="shared" si="39"/>
        <v>0</v>
      </c>
      <c r="O69" s="11"/>
      <c r="P69" s="7">
        <v>61.11</v>
      </c>
      <c r="Q69" s="2"/>
      <c r="R69" s="6">
        <f t="shared" si="40"/>
        <v>9.0476581060117242E-4</v>
      </c>
      <c r="S69" s="2"/>
      <c r="T69" s="7"/>
      <c r="U69" s="2"/>
      <c r="V69" s="6">
        <f t="shared" si="41"/>
        <v>0</v>
      </c>
      <c r="W69" s="2"/>
      <c r="X69" s="7">
        <f t="shared" si="42"/>
        <v>61.11</v>
      </c>
      <c r="Y69" s="2"/>
      <c r="Z69" s="6">
        <f t="shared" si="43"/>
        <v>0</v>
      </c>
    </row>
    <row r="70" spans="1:26" s="24" customFormat="1" hidden="1" outlineLevel="2" x14ac:dyDescent="0.25">
      <c r="A70" s="27"/>
      <c r="B70" s="11" t="str">
        <f>CONCATENATE("          ", "6375", " - ", "OUTSIDE REPAIRS &amp; MAINTENANCE")</f>
        <v xml:space="preserve">          6375 - OUTSIDE REPAIRS &amp; MAINTENANCE</v>
      </c>
      <c r="C70" s="11"/>
      <c r="D70" s="7">
        <v>9.5399999999999991</v>
      </c>
      <c r="E70" s="2"/>
      <c r="F70" s="6">
        <f t="shared" si="36"/>
        <v>3.7607871319582939E-4</v>
      </c>
      <c r="G70" s="2"/>
      <c r="H70" s="7"/>
      <c r="I70" s="2"/>
      <c r="J70" s="6">
        <f t="shared" si="37"/>
        <v>0</v>
      </c>
      <c r="K70" s="2"/>
      <c r="L70" s="7">
        <f t="shared" si="38"/>
        <v>9.5399999999999991</v>
      </c>
      <c r="M70" s="2"/>
      <c r="N70" s="6">
        <f t="shared" si="39"/>
        <v>0</v>
      </c>
      <c r="O70" s="11"/>
      <c r="P70" s="7">
        <v>183.22</v>
      </c>
      <c r="Q70" s="2"/>
      <c r="R70" s="6">
        <f t="shared" si="40"/>
        <v>2.7126688237333794E-3</v>
      </c>
      <c r="S70" s="2"/>
      <c r="T70" s="7"/>
      <c r="U70" s="2"/>
      <c r="V70" s="6">
        <f t="shared" si="41"/>
        <v>0</v>
      </c>
      <c r="W70" s="2"/>
      <c r="X70" s="7">
        <f t="shared" si="42"/>
        <v>183.22</v>
      </c>
      <c r="Y70" s="2"/>
      <c r="Z70" s="6">
        <f t="shared" si="43"/>
        <v>0</v>
      </c>
    </row>
    <row r="71" spans="1:26" s="28" customFormat="1" outlineLevel="1" collapsed="1" x14ac:dyDescent="0.25">
      <c r="A71" s="29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SUM(OSRRefD22_10x_0)</f>
        <v>426.05</v>
      </c>
      <c r="E71" s="1"/>
      <c r="F71" s="5">
        <f t="shared" ref="F71:F73" si="44">IF(D$12=0,0,D71/D$12)</f>
        <v>1.679542303533366E-2</v>
      </c>
      <c r="G71" s="1"/>
      <c r="H71" s="1">
        <f>SUM(OSRRefH22_10x_0)</f>
        <v>0</v>
      </c>
      <c r="I71" s="1"/>
      <c r="J71" s="5">
        <f t="shared" ref="J71:J73" si="45">IF(H$12=0,0,H71/H$12)</f>
        <v>0</v>
      </c>
      <c r="K71" s="1"/>
      <c r="L71" s="1">
        <f t="shared" ref="L71:L73" si="46">+D71-H71</f>
        <v>426.05</v>
      </c>
      <c r="M71" s="1"/>
      <c r="N71" s="5">
        <f t="shared" ref="N71:N73" si="47">IF(H71=0,0,L71/H71)</f>
        <v>0</v>
      </c>
      <c r="O71" s="14"/>
      <c r="P71" s="1">
        <f>SUM(OSRRefP22_10x_0)</f>
        <v>3039.99</v>
      </c>
      <c r="Q71" s="1"/>
      <c r="R71" s="5">
        <f t="shared" ref="R71:R73" si="48">IF(P$12=0,0,P71/P$12)</f>
        <v>4.5008656792169165E-2</v>
      </c>
      <c r="S71" s="1"/>
      <c r="T71" s="1">
        <f>SUM(OSRRefT22_10x_0)</f>
        <v>0</v>
      </c>
      <c r="U71" s="1"/>
      <c r="V71" s="5">
        <f t="shared" ref="V71:V73" si="49">IF(T$12=0,0,T71/T$12)</f>
        <v>0</v>
      </c>
      <c r="W71" s="1"/>
      <c r="X71" s="1">
        <f t="shared" ref="X71:X73" si="50">+P71-T71</f>
        <v>3039.99</v>
      </c>
      <c r="Y71" s="1"/>
      <c r="Z71" s="5">
        <f t="shared" ref="Z71:Z73" si="51">IF(T71=0,0,X71/T71)</f>
        <v>0</v>
      </c>
    </row>
    <row r="72" spans="1:26" s="24" customFormat="1" hidden="1" outlineLevel="2" x14ac:dyDescent="0.25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7">
        <v>220.3</v>
      </c>
      <c r="E72" s="2"/>
      <c r="F72" s="6">
        <f t="shared" si="44"/>
        <v>8.6845011024152229E-3</v>
      </c>
      <c r="G72" s="2"/>
      <c r="H72" s="7"/>
      <c r="I72" s="2"/>
      <c r="J72" s="6">
        <f t="shared" si="45"/>
        <v>0</v>
      </c>
      <c r="K72" s="2"/>
      <c r="L72" s="7">
        <f t="shared" si="46"/>
        <v>220.3</v>
      </c>
      <c r="M72" s="2"/>
      <c r="N72" s="6">
        <f t="shared" si="47"/>
        <v>0</v>
      </c>
      <c r="O72" s="11"/>
      <c r="P72" s="7">
        <v>491.6</v>
      </c>
      <c r="Q72" s="2"/>
      <c r="R72" s="6">
        <f t="shared" si="48"/>
        <v>7.2783975207255172E-3</v>
      </c>
      <c r="S72" s="2"/>
      <c r="T72" s="7"/>
      <c r="U72" s="2"/>
      <c r="V72" s="6">
        <f t="shared" si="49"/>
        <v>0</v>
      </c>
      <c r="W72" s="2"/>
      <c r="X72" s="7">
        <f t="shared" si="50"/>
        <v>491.6</v>
      </c>
      <c r="Y72" s="2"/>
      <c r="Z72" s="6">
        <f t="shared" si="51"/>
        <v>0</v>
      </c>
    </row>
    <row r="73" spans="1:26" s="24" customFormat="1" hidden="1" outlineLevel="2" x14ac:dyDescent="0.25">
      <c r="A73" s="27"/>
      <c r="B73" s="11" t="str">
        <f>CONCATENATE("          ", "6285", " - ", "JANITORIAL SERVICES")</f>
        <v xml:space="preserve">          6285 - JANITORIAL SERVICES</v>
      </c>
      <c r="C73" s="11"/>
      <c r="D73" s="7">
        <v>205.75</v>
      </c>
      <c r="E73" s="2"/>
      <c r="F73" s="6">
        <f t="shared" si="44"/>
        <v>8.1109219329184388E-3</v>
      </c>
      <c r="G73" s="2"/>
      <c r="H73" s="7"/>
      <c r="I73" s="2"/>
      <c r="J73" s="6">
        <f t="shared" si="45"/>
        <v>0</v>
      </c>
      <c r="K73" s="2"/>
      <c r="L73" s="7">
        <f t="shared" si="46"/>
        <v>205.75</v>
      </c>
      <c r="M73" s="2"/>
      <c r="N73" s="6">
        <f t="shared" si="47"/>
        <v>0</v>
      </c>
      <c r="O73" s="11"/>
      <c r="P73" s="7">
        <v>2548.39</v>
      </c>
      <c r="Q73" s="2"/>
      <c r="R73" s="6">
        <f t="shared" si="48"/>
        <v>3.7730259271443654E-2</v>
      </c>
      <c r="S73" s="2"/>
      <c r="T73" s="7"/>
      <c r="U73" s="2"/>
      <c r="V73" s="6">
        <f t="shared" si="49"/>
        <v>0</v>
      </c>
      <c r="W73" s="2"/>
      <c r="X73" s="7">
        <f t="shared" si="50"/>
        <v>2548.39</v>
      </c>
      <c r="Y73" s="2"/>
      <c r="Z73" s="6">
        <f t="shared" si="51"/>
        <v>0</v>
      </c>
    </row>
    <row r="74" spans="1:26" s="28" customFormat="1" outlineLevel="1" collapsed="1" x14ac:dyDescent="0.25">
      <c r="A74" s="29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SUM(OSRRefD22_11x_0)</f>
        <v>1419.95</v>
      </c>
      <c r="E74" s="1"/>
      <c r="F74" s="5">
        <f t="shared" ref="F74:F78" si="52">IF(D$12=0,0,D74/D$12)</f>
        <v>5.5976202180546955E-2</v>
      </c>
      <c r="G74" s="1"/>
      <c r="H74" s="1">
        <f>SUM(OSRRefH22_11x_0)</f>
        <v>75</v>
      </c>
      <c r="I74" s="1"/>
      <c r="J74" s="5">
        <f t="shared" ref="J74:J78" si="53">IF(H$12=0,0,H74/H$12)</f>
        <v>1.040943789035392E-3</v>
      </c>
      <c r="K74" s="1"/>
      <c r="L74" s="1">
        <f t="shared" ref="L74:L78" si="54">+D74-H74</f>
        <v>1344.95</v>
      </c>
      <c r="M74" s="1"/>
      <c r="N74" s="5">
        <f t="shared" ref="N74:N78" si="55">IF(H74=0,0,L74/H74)</f>
        <v>17.932666666666666</v>
      </c>
      <c r="O74" s="14"/>
      <c r="P74" s="1">
        <f>SUM(OSRRefP22_11x_0)</f>
        <v>1668.3899999999999</v>
      </c>
      <c r="Q74" s="1"/>
      <c r="R74" s="5">
        <f t="shared" ref="R74:R78" si="56">IF(P$12=0,0,P74/P$12)</f>
        <v>2.4701394710340205E-2</v>
      </c>
      <c r="S74" s="1"/>
      <c r="T74" s="1">
        <f>SUM(OSRRefT22_11x_0)</f>
        <v>300</v>
      </c>
      <c r="U74" s="1"/>
      <c r="V74" s="5">
        <f t="shared" ref="V74:V78" si="57">IF(T$12=0,0,T74/T$12)</f>
        <v>1.4881173826991473E-3</v>
      </c>
      <c r="W74" s="1"/>
      <c r="X74" s="1">
        <f t="shared" ref="X74:X78" si="58">+P74-T74</f>
        <v>1368.3899999999999</v>
      </c>
      <c r="Y74" s="1"/>
      <c r="Z74" s="5">
        <f t="shared" ref="Z74:Z78" si="59">IF(T74=0,0,X74/T74)</f>
        <v>4.5612999999999992</v>
      </c>
    </row>
    <row r="75" spans="1:26" s="24" customFormat="1" hidden="1" outlineLevel="2" x14ac:dyDescent="0.25">
      <c r="A75" s="27"/>
      <c r="B75" s="11" t="str">
        <f>CONCATENATE("          ", "6234", " - ", "EXPENDABLE SUPPLIES &amp; EQUIPMEN")</f>
        <v xml:space="preserve">          6234 - EXPENDABLE SUPPLIES &amp; EQUIPMEN</v>
      </c>
      <c r="C75" s="11"/>
      <c r="D75" s="7">
        <v>1347.52</v>
      </c>
      <c r="E75" s="2"/>
      <c r="F75" s="6">
        <f t="shared" si="52"/>
        <v>5.3120921132667087E-2</v>
      </c>
      <c r="G75" s="2"/>
      <c r="H75" s="7"/>
      <c r="I75" s="2"/>
      <c r="J75" s="6">
        <f t="shared" si="53"/>
        <v>0</v>
      </c>
      <c r="K75" s="2"/>
      <c r="L75" s="7">
        <f t="shared" si="54"/>
        <v>1347.52</v>
      </c>
      <c r="M75" s="2"/>
      <c r="N75" s="6">
        <f t="shared" si="55"/>
        <v>0</v>
      </c>
      <c r="O75" s="11"/>
      <c r="P75" s="7">
        <v>1347.52</v>
      </c>
      <c r="Q75" s="2"/>
      <c r="R75" s="6">
        <f t="shared" si="56"/>
        <v>1.9950744969747861E-2</v>
      </c>
      <c r="S75" s="2"/>
      <c r="T75" s="7"/>
      <c r="U75" s="2"/>
      <c r="V75" s="6">
        <f t="shared" si="57"/>
        <v>0</v>
      </c>
      <c r="W75" s="2"/>
      <c r="X75" s="7">
        <f t="shared" si="58"/>
        <v>1347.52</v>
      </c>
      <c r="Y75" s="2"/>
      <c r="Z75" s="6">
        <f t="shared" si="59"/>
        <v>0</v>
      </c>
    </row>
    <row r="76" spans="1:26" s="24" customFormat="1" hidden="1" outlineLevel="2" x14ac:dyDescent="0.25">
      <c r="A76" s="27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52"/>
        <v>0</v>
      </c>
      <c r="G76" s="2"/>
      <c r="H76" s="7">
        <v>25</v>
      </c>
      <c r="I76" s="2"/>
      <c r="J76" s="6">
        <f t="shared" si="53"/>
        <v>3.4698126301179735E-4</v>
      </c>
      <c r="K76" s="2"/>
      <c r="L76" s="7">
        <f t="shared" si="54"/>
        <v>-25</v>
      </c>
      <c r="M76" s="2"/>
      <c r="N76" s="6">
        <f t="shared" si="55"/>
        <v>-1</v>
      </c>
      <c r="O76" s="11"/>
      <c r="P76" s="7"/>
      <c r="Q76" s="2"/>
      <c r="R76" s="6">
        <f t="shared" si="56"/>
        <v>0</v>
      </c>
      <c r="S76" s="2"/>
      <c r="T76" s="7">
        <v>100</v>
      </c>
      <c r="U76" s="2"/>
      <c r="V76" s="6">
        <f t="shared" si="57"/>
        <v>4.9603912756638246E-4</v>
      </c>
      <c r="W76" s="2"/>
      <c r="X76" s="7">
        <f t="shared" si="58"/>
        <v>-100</v>
      </c>
      <c r="Y76" s="2"/>
      <c r="Z76" s="6">
        <f t="shared" si="59"/>
        <v>-1</v>
      </c>
    </row>
    <row r="77" spans="1:26" s="24" customFormat="1" hidden="1" outlineLevel="2" x14ac:dyDescent="0.25">
      <c r="A77" s="27"/>
      <c r="B77" s="11" t="str">
        <f>CONCATENATE("          ", "6241", " - ", "OFFICE EXPENSE")</f>
        <v xml:space="preserve">          6241 - OFFICE EXPENSE</v>
      </c>
      <c r="C77" s="11"/>
      <c r="D77" s="7"/>
      <c r="E77" s="2"/>
      <c r="F77" s="6">
        <f t="shared" si="52"/>
        <v>0</v>
      </c>
      <c r="G77" s="2"/>
      <c r="H77" s="7">
        <v>25</v>
      </c>
      <c r="I77" s="2"/>
      <c r="J77" s="6">
        <f t="shared" si="53"/>
        <v>3.4698126301179735E-4</v>
      </c>
      <c r="K77" s="2"/>
      <c r="L77" s="7">
        <f t="shared" si="54"/>
        <v>-25</v>
      </c>
      <c r="M77" s="2"/>
      <c r="N77" s="6">
        <f t="shared" si="55"/>
        <v>-1</v>
      </c>
      <c r="O77" s="11"/>
      <c r="P77" s="7"/>
      <c r="Q77" s="2"/>
      <c r="R77" s="6">
        <f t="shared" si="56"/>
        <v>0</v>
      </c>
      <c r="S77" s="2"/>
      <c r="T77" s="7">
        <v>100</v>
      </c>
      <c r="U77" s="2"/>
      <c r="V77" s="6">
        <f t="shared" si="57"/>
        <v>4.9603912756638246E-4</v>
      </c>
      <c r="W77" s="2"/>
      <c r="X77" s="7">
        <f t="shared" si="58"/>
        <v>-100</v>
      </c>
      <c r="Y77" s="2"/>
      <c r="Z77" s="6">
        <f t="shared" si="59"/>
        <v>-1</v>
      </c>
    </row>
    <row r="78" spans="1:26" s="24" customFormat="1" hidden="1" outlineLevel="2" x14ac:dyDescent="0.25">
      <c r="A78" s="27"/>
      <c r="B78" s="11" t="str">
        <f>CONCATENATE("          ", "6247", " - ", "STORE SUPPLIES")</f>
        <v xml:space="preserve">          6247 - STORE SUPPLIES</v>
      </c>
      <c r="C78" s="11"/>
      <c r="D78" s="7">
        <v>72.430000000000007</v>
      </c>
      <c r="E78" s="2"/>
      <c r="F78" s="6">
        <f t="shared" si="52"/>
        <v>2.8552810478798666E-3</v>
      </c>
      <c r="G78" s="2"/>
      <c r="H78" s="7">
        <v>25</v>
      </c>
      <c r="I78" s="2"/>
      <c r="J78" s="6">
        <f t="shared" si="53"/>
        <v>3.4698126301179735E-4</v>
      </c>
      <c r="K78" s="2"/>
      <c r="L78" s="7">
        <f t="shared" si="54"/>
        <v>47.430000000000007</v>
      </c>
      <c r="M78" s="2"/>
      <c r="N78" s="6">
        <f t="shared" si="55"/>
        <v>1.8972000000000002</v>
      </c>
      <c r="O78" s="11"/>
      <c r="P78" s="7">
        <v>320.87</v>
      </c>
      <c r="Q78" s="2"/>
      <c r="R78" s="6">
        <f t="shared" si="56"/>
        <v>4.7506497405923444E-3</v>
      </c>
      <c r="S78" s="2"/>
      <c r="T78" s="7">
        <v>100</v>
      </c>
      <c r="U78" s="2"/>
      <c r="V78" s="6">
        <f t="shared" si="57"/>
        <v>4.9603912756638246E-4</v>
      </c>
      <c r="W78" s="2"/>
      <c r="X78" s="7">
        <f t="shared" si="58"/>
        <v>220.87</v>
      </c>
      <c r="Y78" s="2"/>
      <c r="Z78" s="6">
        <f t="shared" si="59"/>
        <v>2.2086999999999999</v>
      </c>
    </row>
    <row r="79" spans="1:26" s="28" customFormat="1" outlineLevel="1" collapsed="1" x14ac:dyDescent="0.25">
      <c r="A79" s="29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SUM(OSRRefD22_12x_0)</f>
        <v>53</v>
      </c>
      <c r="E79" s="1"/>
      <c r="F79" s="5">
        <f t="shared" ref="F79:F80" si="60">IF(D$12=0,0,D79/D$12)</f>
        <v>2.0893261844212745E-3</v>
      </c>
      <c r="G79" s="1"/>
      <c r="H79" s="1">
        <f>SUM(OSRRefH22_12x_0)</f>
        <v>60</v>
      </c>
      <c r="I79" s="1"/>
      <c r="J79" s="5">
        <f t="shared" ref="J79:J80" si="61">IF(H$12=0,0,H79/H$12)</f>
        <v>8.3275503122831368E-4</v>
      </c>
      <c r="K79" s="1"/>
      <c r="L79" s="1">
        <f t="shared" ref="L79:L80" si="62">+D79-H79</f>
        <v>-7</v>
      </c>
      <c r="M79" s="1"/>
      <c r="N79" s="5">
        <f t="shared" ref="N79:N80" si="63">IF(H79=0,0,L79/H79)</f>
        <v>-0.11666666666666667</v>
      </c>
      <c r="O79" s="14"/>
      <c r="P79" s="1">
        <f>SUM(OSRRefP22_12x_0)</f>
        <v>172</v>
      </c>
      <c r="Q79" s="1"/>
      <c r="R79" s="5">
        <f t="shared" ref="R79:R80" si="64">IF(P$12=0,0,P79/P$12)</f>
        <v>2.5465508005793102E-3</v>
      </c>
      <c r="S79" s="1"/>
      <c r="T79" s="1">
        <f>SUM(OSRRefT22_12x_0)</f>
        <v>240</v>
      </c>
      <c r="U79" s="1"/>
      <c r="V79" s="5">
        <f t="shared" ref="V79:V80" si="65">IF(T$12=0,0,T79/T$12)</f>
        <v>1.1904939061593179E-3</v>
      </c>
      <c r="W79" s="1"/>
      <c r="X79" s="1">
        <f t="shared" ref="X79:X80" si="66">+P79-T79</f>
        <v>-68</v>
      </c>
      <c r="Y79" s="1"/>
      <c r="Z79" s="5">
        <f t="shared" ref="Z79:Z80" si="67">IF(T79=0,0,X79/T79)</f>
        <v>-0.28333333333333333</v>
      </c>
    </row>
    <row r="80" spans="1:26" s="24" customFormat="1" hidden="1" outlineLevel="2" x14ac:dyDescent="0.25">
      <c r="A80" s="27"/>
      <c r="B80" s="11" t="str">
        <f>CONCATENATE("          ", "6309", " - ", "TELEPHONE")</f>
        <v xml:space="preserve">          6309 - TELEPHONE</v>
      </c>
      <c r="C80" s="11"/>
      <c r="D80" s="7">
        <v>53</v>
      </c>
      <c r="E80" s="2"/>
      <c r="F80" s="6">
        <f t="shared" si="60"/>
        <v>2.0893261844212745E-3</v>
      </c>
      <c r="G80" s="2"/>
      <c r="H80" s="7">
        <v>60</v>
      </c>
      <c r="I80" s="2"/>
      <c r="J80" s="6">
        <f t="shared" si="61"/>
        <v>8.3275503122831368E-4</v>
      </c>
      <c r="K80" s="2"/>
      <c r="L80" s="7">
        <f t="shared" si="62"/>
        <v>-7</v>
      </c>
      <c r="M80" s="2"/>
      <c r="N80" s="6">
        <f t="shared" si="63"/>
        <v>-0.11666666666666667</v>
      </c>
      <c r="O80" s="11"/>
      <c r="P80" s="7">
        <v>172</v>
      </c>
      <c r="Q80" s="2"/>
      <c r="R80" s="6">
        <f t="shared" si="64"/>
        <v>2.5465508005793102E-3</v>
      </c>
      <c r="S80" s="2"/>
      <c r="T80" s="7">
        <v>240</v>
      </c>
      <c r="U80" s="2"/>
      <c r="V80" s="6">
        <f t="shared" si="65"/>
        <v>1.1904939061593179E-3</v>
      </c>
      <c r="W80" s="2"/>
      <c r="X80" s="7">
        <f t="shared" si="66"/>
        <v>-68</v>
      </c>
      <c r="Y80" s="2"/>
      <c r="Z80" s="6">
        <f t="shared" si="67"/>
        <v>-0.28333333333333333</v>
      </c>
    </row>
    <row r="81" spans="1:26" s="60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5" t="s">
        <v>293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6" t="s">
        <v>277</v>
      </c>
      <c r="C84" s="26"/>
      <c r="D84" s="21">
        <f>+D30-D32+D82</f>
        <v>2907.1499999999978</v>
      </c>
      <c r="E84" s="13"/>
      <c r="F84" s="20">
        <f>IF(D$12=0,0,D84/D$12)</f>
        <v>0.11460348334038309</v>
      </c>
      <c r="G84" s="13"/>
      <c r="H84" s="21">
        <f>+H30-H32+H82</f>
        <v>19929.980499999998</v>
      </c>
      <c r="I84" s="13"/>
      <c r="J84" s="20">
        <f>IF(H$12=0,0,H84/H$12)</f>
        <v>0.27661319222761965</v>
      </c>
      <c r="K84" s="15"/>
      <c r="L84" s="21">
        <f>+D84-H84</f>
        <v>-17022.8305</v>
      </c>
      <c r="M84" s="15"/>
      <c r="N84" s="20">
        <f>IF(H84=0,0,L84/H84)</f>
        <v>-0.85413181914553316</v>
      </c>
      <c r="O84" s="25"/>
      <c r="P84" s="21">
        <f>+P30-P32+P82</f>
        <v>15023.990000000011</v>
      </c>
      <c r="Q84" s="13"/>
      <c r="R84" s="20">
        <f>IF(P$12=0,0,P84/P$12)</f>
        <v>0.22243810326974173</v>
      </c>
      <c r="S84" s="13"/>
      <c r="T84" s="21">
        <f>+T30-T32+T82</f>
        <v>40299.692450000002</v>
      </c>
      <c r="U84" s="13"/>
      <c r="V84" s="20">
        <f>IF(T$12=0,0,T84/T$12)</f>
        <v>0.19990224284091529</v>
      </c>
      <c r="W84" s="15"/>
      <c r="X84" s="21">
        <f>+P84-T84</f>
        <v>-25275.70244999999</v>
      </c>
      <c r="Y84" s="15"/>
      <c r="Z84" s="20">
        <f>IF(T84=0,0,X84/T84)</f>
        <v>-0.62719343283722728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2"/>
      <c r="B86" s="10" t="s">
        <v>128</v>
      </c>
      <c r="C86" s="10"/>
      <c r="D86" s="4">
        <v>2587.06</v>
      </c>
      <c r="E86" s="4"/>
      <c r="F86" s="12">
        <f>IF(D$12=0,0,D86/D$12)</f>
        <v>0.10198513582394156</v>
      </c>
      <c r="G86" s="4"/>
      <c r="H86" s="4">
        <v>9115</v>
      </c>
      <c r="I86" s="4"/>
      <c r="J86" s="12">
        <f>IF(H$12=0,0,H86/H$12)</f>
        <v>0.12650936849410133</v>
      </c>
      <c r="K86" s="4"/>
      <c r="L86" s="4">
        <f>+D86-H86</f>
        <v>-6527.9400000000005</v>
      </c>
      <c r="M86" s="4"/>
      <c r="N86" s="12">
        <f>IF(H86=0,0,L86/H86)</f>
        <v>-0.71617553483269347</v>
      </c>
      <c r="O86" s="10"/>
      <c r="P86" s="4">
        <v>7807.34</v>
      </c>
      <c r="Q86" s="4"/>
      <c r="R86" s="12">
        <f>IF(P$12=0,0,P86/P$12)</f>
        <v>0.11559179027555158</v>
      </c>
      <c r="S86" s="4"/>
      <c r="T86" s="4">
        <v>23182</v>
      </c>
      <c r="U86" s="4"/>
      <c r="V86" s="12">
        <f>IF(T$12=0,0,T86/T$12)</f>
        <v>0.11499179055243877</v>
      </c>
      <c r="W86" s="4"/>
      <c r="X86" s="4">
        <f>+P86-T86</f>
        <v>-15374.66</v>
      </c>
      <c r="Y86" s="4"/>
      <c r="Z86" s="12">
        <f>IF(T86=0,0,X86/T86)</f>
        <v>-0.66321542576136661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6" t="s">
        <v>126</v>
      </c>
      <c r="C88" s="26"/>
      <c r="D88" s="31">
        <f>+D84-D86</f>
        <v>320.08999999999787</v>
      </c>
      <c r="E88" s="13"/>
      <c r="F88" s="33">
        <f>IF(D$12=0,0,D88/D$12)</f>
        <v>1.2618347516441534E-2</v>
      </c>
      <c r="G88" s="13"/>
      <c r="H88" s="31">
        <f>+H84-H86</f>
        <v>10814.980499999998</v>
      </c>
      <c r="I88" s="13"/>
      <c r="J88" s="33">
        <f>IF(H$12=0,0,H88/H$12)</f>
        <v>0.15010382373351835</v>
      </c>
      <c r="K88" s="15"/>
      <c r="L88" s="31">
        <f>D88-H88</f>
        <v>-10494.8905</v>
      </c>
      <c r="M88" s="15"/>
      <c r="N88" s="33">
        <f>IF(H88=0,0,L88/H88)</f>
        <v>-0.97040309041703787</v>
      </c>
      <c r="O88" s="25"/>
      <c r="P88" s="31">
        <f>+P84-P86</f>
        <v>7216.6500000000106</v>
      </c>
      <c r="Q88" s="13"/>
      <c r="R88" s="33">
        <f>IF(P$12=0,0,P88/P$12)</f>
        <v>0.10684631299419016</v>
      </c>
      <c r="S88" s="13"/>
      <c r="T88" s="31">
        <f>+T84-T86</f>
        <v>17117.692450000002</v>
      </c>
      <c r="U88" s="13"/>
      <c r="V88" s="33">
        <f>IF(T$12=0,0,T88/T$12)</f>
        <v>8.4910452288476532E-2</v>
      </c>
      <c r="W88" s="15"/>
      <c r="X88" s="31">
        <f>P88-T88</f>
        <v>-9901.0424499999917</v>
      </c>
      <c r="Y88" s="15"/>
      <c r="Z88" s="33">
        <f>IF(T88=0,0,X88/T88)</f>
        <v>-0.57840988082479483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6" t="s">
        <v>294</v>
      </c>
      <c r="C91" s="26"/>
      <c r="D91" s="35">
        <f>SUM(D88:D90)</f>
        <v>320.08999999999787</v>
      </c>
      <c r="E91" s="13"/>
      <c r="F91" s="32">
        <f>IF(D$12=0,0,D91/D$12)</f>
        <v>1.2618347516441534E-2</v>
      </c>
      <c r="G91" s="13"/>
      <c r="H91" s="35">
        <f>SUM(H88:H90)</f>
        <v>10814.980499999998</v>
      </c>
      <c r="I91" s="13"/>
      <c r="J91" s="32">
        <f>IF(H$12=0,0,H91/H$12)</f>
        <v>0.15010382373351835</v>
      </c>
      <c r="K91" s="15"/>
      <c r="L91" s="35">
        <f>+D91-H91</f>
        <v>-10494.8905</v>
      </c>
      <c r="M91" s="15"/>
      <c r="N91" s="32">
        <f>IF(H91=0,0,L91/H91)</f>
        <v>-0.97040309041703787</v>
      </c>
      <c r="O91" s="25"/>
      <c r="P91" s="35">
        <f>SUM(P88:P90)</f>
        <v>7216.6500000000106</v>
      </c>
      <c r="Q91" s="13"/>
      <c r="R91" s="32">
        <f>IF(P$12=0,0,P91/P$12)</f>
        <v>0.10684631299419016</v>
      </c>
      <c r="S91" s="13"/>
      <c r="T91" s="35">
        <f>SUM(T88:T90)</f>
        <v>17117.692450000002</v>
      </c>
      <c r="U91" s="13"/>
      <c r="V91" s="32">
        <f>IF(T$12=0,0,T91/T$12)</f>
        <v>8.4910452288476532E-2</v>
      </c>
      <c r="W91" s="15"/>
      <c r="X91" s="35">
        <f>+P91-T91</f>
        <v>-9901.0424499999917</v>
      </c>
      <c r="Y91" s="15"/>
      <c r="Z91" s="32">
        <f>IF(T91=0,0,X91/T91)</f>
        <v>-0.57840988082479483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9">
        <v>44517.962873958335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62" t="s">
        <v>56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7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","307", " - ", "Art Store")</f>
        <v>Department 307 - Art Store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25367.03</v>
      </c>
      <c r="E12" s="4"/>
      <c r="F12" s="12"/>
      <c r="G12" s="4"/>
      <c r="H12" s="4">
        <f>SUM(OSRRefH13x_0)</f>
        <v>72050</v>
      </c>
      <c r="I12" s="4"/>
      <c r="J12" s="12"/>
      <c r="K12" s="4"/>
      <c r="L12" s="4">
        <f t="shared" ref="L12:L16" si="0">+D12-H12</f>
        <v>-46682.97</v>
      </c>
      <c r="M12" s="4"/>
      <c r="N12" s="12">
        <f t="shared" ref="N12:N16" si="1">IF(H12=0,0,L12/H12)</f>
        <v>-0.64792463566967384</v>
      </c>
      <c r="O12" s="10"/>
      <c r="P12" s="4">
        <f>SUM(OSRRefP13x_0)</f>
        <v>67542.340000000011</v>
      </c>
      <c r="Q12" s="4"/>
      <c r="R12" s="12"/>
      <c r="S12" s="4"/>
      <c r="T12" s="4">
        <f>SUM(OSRRefT13x_0)</f>
        <v>201597</v>
      </c>
      <c r="U12" s="4"/>
      <c r="V12" s="12"/>
      <c r="W12" s="4"/>
      <c r="X12" s="4">
        <f t="shared" ref="X12:X16" si="2">+P12-T12</f>
        <v>-134054.65999999997</v>
      </c>
      <c r="Y12" s="4"/>
      <c r="Z12" s="12">
        <f t="shared" ref="Z12:Z16" si="3">IF(T12=0,0,X12/T12)</f>
        <v>-0.66496356592608008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--16412.68</f>
        <v>16412.68</v>
      </c>
      <c r="E13" s="2"/>
      <c r="F13" s="19"/>
      <c r="G13" s="2"/>
      <c r="H13" s="2">
        <v>42591</v>
      </c>
      <c r="I13" s="2"/>
      <c r="J13" s="19"/>
      <c r="K13" s="2"/>
      <c r="L13" s="2">
        <f t="shared" si="0"/>
        <v>-26178.32</v>
      </c>
      <c r="M13" s="2"/>
      <c r="N13" s="19">
        <f t="shared" si="1"/>
        <v>-0.61464440844309831</v>
      </c>
      <c r="O13" s="11"/>
      <c r="P13" s="2">
        <f>--51249.05</f>
        <v>51249.05</v>
      </c>
      <c r="Q13" s="2"/>
      <c r="R13" s="19"/>
      <c r="S13" s="2"/>
      <c r="T13" s="2">
        <v>141025</v>
      </c>
      <c r="U13" s="2"/>
      <c r="V13" s="19"/>
      <c r="W13" s="2"/>
      <c r="X13" s="2">
        <f t="shared" si="2"/>
        <v>-89775.95</v>
      </c>
      <c r="Y13" s="2"/>
      <c r="Z13" s="19">
        <f t="shared" si="3"/>
        <v>-0.63659599361815278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--9316.24</f>
        <v>9316.24</v>
      </c>
      <c r="E14" s="2"/>
      <c r="F14" s="19"/>
      <c r="G14" s="2"/>
      <c r="H14" s="2">
        <v>29459</v>
      </c>
      <c r="I14" s="2"/>
      <c r="J14" s="19"/>
      <c r="K14" s="2"/>
      <c r="L14" s="2">
        <f t="shared" si="0"/>
        <v>-20142.760000000002</v>
      </c>
      <c r="M14" s="2"/>
      <c r="N14" s="19">
        <f t="shared" si="1"/>
        <v>-0.6837557283003497</v>
      </c>
      <c r="O14" s="11"/>
      <c r="P14" s="2">
        <f>--17319.17</f>
        <v>17319.169999999998</v>
      </c>
      <c r="Q14" s="2"/>
      <c r="R14" s="19"/>
      <c r="S14" s="2"/>
      <c r="T14" s="2">
        <v>60572</v>
      </c>
      <c r="U14" s="2"/>
      <c r="V14" s="19"/>
      <c r="W14" s="2"/>
      <c r="X14" s="2">
        <f t="shared" si="2"/>
        <v>-43252.83</v>
      </c>
      <c r="Y14" s="2"/>
      <c r="Z14" s="19">
        <f t="shared" si="3"/>
        <v>-0.7140730040282639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-211.3</f>
        <v>-211.3</v>
      </c>
      <c r="E15" s="2"/>
      <c r="F15" s="19"/>
      <c r="G15" s="2"/>
      <c r="H15" s="2"/>
      <c r="I15" s="2"/>
      <c r="J15" s="19"/>
      <c r="K15" s="2"/>
      <c r="L15" s="2">
        <f t="shared" si="0"/>
        <v>-211.3</v>
      </c>
      <c r="M15" s="2"/>
      <c r="N15" s="19">
        <f t="shared" si="1"/>
        <v>0</v>
      </c>
      <c r="O15" s="11"/>
      <c r="P15" s="2">
        <f>-875.29</f>
        <v>-875.29</v>
      </c>
      <c r="Q15" s="2"/>
      <c r="R15" s="19"/>
      <c r="S15" s="2"/>
      <c r="T15" s="2"/>
      <c r="U15" s="2"/>
      <c r="V15" s="19"/>
      <c r="W15" s="2"/>
      <c r="X15" s="2">
        <f t="shared" si="2"/>
        <v>-875.29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"4500", " - ", "SALES DISCOUNT")</f>
        <v xml:space="preserve">          4500 - SALES DISCOUNT</v>
      </c>
      <c r="C16" s="11"/>
      <c r="D16" s="2">
        <f>-150.59</f>
        <v>-150.59</v>
      </c>
      <c r="E16" s="2"/>
      <c r="F16" s="19"/>
      <c r="G16" s="2"/>
      <c r="H16" s="2"/>
      <c r="I16" s="2"/>
      <c r="J16" s="19"/>
      <c r="K16" s="2"/>
      <c r="L16" s="2">
        <f t="shared" si="0"/>
        <v>-150.59</v>
      </c>
      <c r="M16" s="2"/>
      <c r="N16" s="19">
        <f t="shared" si="1"/>
        <v>0</v>
      </c>
      <c r="O16" s="11"/>
      <c r="P16" s="2">
        <f>-150.59</f>
        <v>-150.59</v>
      </c>
      <c r="Q16" s="2"/>
      <c r="R16" s="19"/>
      <c r="S16" s="2"/>
      <c r="T16" s="2"/>
      <c r="U16" s="2"/>
      <c r="V16" s="19"/>
      <c r="W16" s="2"/>
      <c r="X16" s="2">
        <f t="shared" si="2"/>
        <v>-150.59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257</v>
      </c>
      <c r="C18" s="10"/>
      <c r="D18" s="4">
        <f>SUM(OSRRefD16x_0)</f>
        <v>13841.29</v>
      </c>
      <c r="E18" s="4"/>
      <c r="F18" s="12">
        <f t="shared" ref="F18:F28" si="4">IF(D$12=0,0,D18/D$12)</f>
        <v>0.54564093628619514</v>
      </c>
      <c r="G18" s="4"/>
      <c r="H18" s="4">
        <f>SUM(OSRRefH16x_0)</f>
        <v>39169</v>
      </c>
      <c r="I18" s="4"/>
      <c r="J18" s="12">
        <f t="shared" ref="J18:J28" si="5">IF(H$12=0,0,H18/H$12)</f>
        <v>0.54363636363636358</v>
      </c>
      <c r="K18" s="4"/>
      <c r="L18" s="4">
        <f t="shared" ref="L18:L28" si="6">+D18-H18</f>
        <v>-25327.71</v>
      </c>
      <c r="M18" s="4"/>
      <c r="N18" s="12">
        <f t="shared" ref="N18:N28" si="7">IF(H18=0,0,L18/H18)</f>
        <v>-0.64662641374556407</v>
      </c>
      <c r="O18" s="10"/>
      <c r="P18" s="4">
        <f>SUM(OSRRefP16x_0)</f>
        <v>38301.46</v>
      </c>
      <c r="Q18" s="4"/>
      <c r="R18" s="12">
        <f t="shared" ref="R18:R28" si="8">IF(P$12=0,0,P18/P$12)</f>
        <v>0.56707333503695601</v>
      </c>
      <c r="S18" s="4"/>
      <c r="T18" s="4">
        <f>SUM(OSRRefT16x_0)</f>
        <v>114241</v>
      </c>
      <c r="U18" s="4"/>
      <c r="V18" s="12">
        <f t="shared" ref="V18:V28" si="9">IF(T$12=0,0,T18/T$12)</f>
        <v>0.56668005972311097</v>
      </c>
      <c r="W18" s="4"/>
      <c r="X18" s="4">
        <f t="shared" ref="X18:X28" si="10">+P18-T18</f>
        <v>-75939.540000000008</v>
      </c>
      <c r="Y18" s="4"/>
      <c r="Z18" s="12">
        <f t="shared" ref="Z18:Z28" si="11">IF(T18=0,0,X18/T18)</f>
        <v>-0.6647310510237131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22158.639999999999</v>
      </c>
      <c r="E19" s="2"/>
      <c r="F19" s="19">
        <f t="shared" si="4"/>
        <v>0.8735212596823515</v>
      </c>
      <c r="G19" s="2"/>
      <c r="H19" s="2">
        <v>39169</v>
      </c>
      <c r="I19" s="2"/>
      <c r="J19" s="19">
        <f t="shared" si="5"/>
        <v>0.54363636363636358</v>
      </c>
      <c r="K19" s="2"/>
      <c r="L19" s="2">
        <f t="shared" si="6"/>
        <v>-17010.36</v>
      </c>
      <c r="M19" s="2"/>
      <c r="N19" s="19">
        <f t="shared" si="7"/>
        <v>-0.43428119175878888</v>
      </c>
      <c r="O19" s="11"/>
      <c r="P19" s="2">
        <v>47391.75</v>
      </c>
      <c r="Q19" s="2"/>
      <c r="R19" s="19">
        <f t="shared" si="8"/>
        <v>0.7016598773450845</v>
      </c>
      <c r="S19" s="2"/>
      <c r="T19" s="2">
        <v>114241</v>
      </c>
      <c r="U19" s="2"/>
      <c r="V19" s="19">
        <f t="shared" si="9"/>
        <v>0.56668005972311097</v>
      </c>
      <c r="W19" s="2"/>
      <c r="X19" s="2">
        <f t="shared" si="10"/>
        <v>-66849.25</v>
      </c>
      <c r="Y19" s="2"/>
      <c r="Z19" s="19">
        <f t="shared" si="11"/>
        <v>-0.58515988130356</v>
      </c>
    </row>
    <row r="20" spans="1:26" s="24" customFormat="1" hidden="1" outlineLevel="1" x14ac:dyDescent="0.25">
      <c r="A20" s="44"/>
      <c r="B20" s="11" t="str">
        <f>CONCATENATE("          ", "5026", " - ", "PURCHASES @ COST-WRITING INSTR")</f>
        <v xml:space="preserve">          5026 - PURCHASES @ COST-WRITING INSTR</v>
      </c>
      <c r="C20" s="11"/>
      <c r="D20" s="2"/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"5027", " - ", "PURCHASES @ COST-SCHOOL SUPPLI")</f>
        <v xml:space="preserve">          5027 - PURCHASES @ COST-SCHOOL SUPPLI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"5028", " - ", "PURCHASES @ COST-ART/TECH")</f>
        <v xml:space="preserve">          5028 - PURCHASES @ COST-ART/TECH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"5031", " - ", "PURCHASES @ COST-FOOD")</f>
        <v xml:space="preserve">          5031 - PURCHASES @ COST-FOOD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"5042", " - ", "PURCHASES @ COST-EVERYDAY GIFT")</f>
        <v xml:space="preserve">          5042 - PURCHASES @ COST-EVERYDAY GIFT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"5200", " - ", "PURCHASES OFFSET")</f>
        <v xml:space="preserve">          5200 - PURCHASES OFFSET</v>
      </c>
      <c r="C25" s="11"/>
      <c r="D25" s="2">
        <v>-22717.1</v>
      </c>
      <c r="E25" s="2"/>
      <c r="F25" s="19">
        <f t="shared" si="4"/>
        <v>-0.89553645026634965</v>
      </c>
      <c r="G25" s="2"/>
      <c r="H25" s="2"/>
      <c r="I25" s="2"/>
      <c r="J25" s="19">
        <f t="shared" si="5"/>
        <v>0</v>
      </c>
      <c r="K25" s="2"/>
      <c r="L25" s="2">
        <f t="shared" si="6"/>
        <v>-22717.1</v>
      </c>
      <c r="M25" s="2"/>
      <c r="N25" s="19">
        <f t="shared" si="7"/>
        <v>0</v>
      </c>
      <c r="O25" s="11"/>
      <c r="P25" s="2">
        <v>-48143.98</v>
      </c>
      <c r="Q25" s="2"/>
      <c r="R25" s="19">
        <f t="shared" si="8"/>
        <v>-0.71279703960508323</v>
      </c>
      <c r="S25" s="2"/>
      <c r="T25" s="2"/>
      <c r="U25" s="2"/>
      <c r="V25" s="19">
        <f t="shared" si="9"/>
        <v>0</v>
      </c>
      <c r="W25" s="2"/>
      <c r="X25" s="2">
        <f t="shared" si="10"/>
        <v>-48143.98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"5300", " - ", "COG$ OFFSET")</f>
        <v xml:space="preserve">          5300 - COG$ OFFSET</v>
      </c>
      <c r="C26" s="11"/>
      <c r="D26" s="2">
        <v>13841.29</v>
      </c>
      <c r="E26" s="2"/>
      <c r="F26" s="19">
        <f t="shared" si="4"/>
        <v>0.54564093628619514</v>
      </c>
      <c r="G26" s="2"/>
      <c r="H26" s="2"/>
      <c r="I26" s="2"/>
      <c r="J26" s="19">
        <f t="shared" si="5"/>
        <v>0</v>
      </c>
      <c r="K26" s="2"/>
      <c r="L26" s="2">
        <f t="shared" si="6"/>
        <v>13841.29</v>
      </c>
      <c r="M26" s="2"/>
      <c r="N26" s="19">
        <f t="shared" si="7"/>
        <v>0</v>
      </c>
      <c r="O26" s="11"/>
      <c r="P26" s="2">
        <v>38301.46</v>
      </c>
      <c r="Q26" s="2"/>
      <c r="R26" s="19">
        <f t="shared" si="8"/>
        <v>0.56707333503695601</v>
      </c>
      <c r="S26" s="2"/>
      <c r="T26" s="2"/>
      <c r="U26" s="2"/>
      <c r="V26" s="19">
        <f t="shared" si="9"/>
        <v>0</v>
      </c>
      <c r="W26" s="2"/>
      <c r="X26" s="2">
        <f t="shared" si="10"/>
        <v>38301.46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"5500", " - ", "FREIGHT-IN")</f>
        <v xml:space="preserve">          5500 - FREIGHT-IN</v>
      </c>
      <c r="C27" s="11"/>
      <c r="D27" s="2">
        <v>558.46</v>
      </c>
      <c r="E27" s="2"/>
      <c r="F27" s="19">
        <f t="shared" si="4"/>
        <v>2.2015190583998208E-2</v>
      </c>
      <c r="G27" s="2"/>
      <c r="H27" s="2"/>
      <c r="I27" s="2"/>
      <c r="J27" s="19">
        <f t="shared" si="5"/>
        <v>0</v>
      </c>
      <c r="K27" s="2"/>
      <c r="L27" s="2">
        <f t="shared" si="6"/>
        <v>558.46</v>
      </c>
      <c r="M27" s="2"/>
      <c r="N27" s="19">
        <f t="shared" si="7"/>
        <v>0</v>
      </c>
      <c r="O27" s="11"/>
      <c r="P27" s="2">
        <v>752.23</v>
      </c>
      <c r="Q27" s="2"/>
      <c r="R27" s="19">
        <f t="shared" si="8"/>
        <v>1.113716225999869E-2</v>
      </c>
      <c r="S27" s="2"/>
      <c r="T27" s="2"/>
      <c r="U27" s="2"/>
      <c r="V27" s="19">
        <f t="shared" si="9"/>
        <v>0</v>
      </c>
      <c r="W27" s="2"/>
      <c r="X27" s="2">
        <f t="shared" si="10"/>
        <v>752.23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"5528", " - ", "FREIGHT-IN-ART/TECH")</f>
        <v xml:space="preserve">          5528 - FREIGHT-IN-ART/TECH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6" t="s">
        <v>108</v>
      </c>
      <c r="C30" s="26"/>
      <c r="D30" s="21">
        <f>D12-D18</f>
        <v>11525.739999999998</v>
      </c>
      <c r="E30" s="13"/>
      <c r="F30" s="20">
        <f>IF(D$12=0,0,D30/D$12)</f>
        <v>0.4543590637138048</v>
      </c>
      <c r="G30" s="13"/>
      <c r="H30" s="21">
        <f>H12-H18</f>
        <v>32881</v>
      </c>
      <c r="I30" s="13"/>
      <c r="J30" s="20">
        <f>IF(H$12=0,0,H30/H$12)</f>
        <v>0.45636363636363636</v>
      </c>
      <c r="K30" s="15"/>
      <c r="L30" s="21">
        <f>+D30-H30</f>
        <v>-21355.260000000002</v>
      </c>
      <c r="M30" s="15"/>
      <c r="N30" s="20">
        <f>IF(H30=0,0,L30/H30)</f>
        <v>-0.64947112314102373</v>
      </c>
      <c r="O30" s="25"/>
      <c r="P30" s="21">
        <f>P12-P18</f>
        <v>29240.880000000012</v>
      </c>
      <c r="Q30" s="13"/>
      <c r="R30" s="20">
        <f>IF(P$12=0,0,P30/P$12)</f>
        <v>0.43292666496304405</v>
      </c>
      <c r="S30" s="13"/>
      <c r="T30" s="21">
        <f>T12-T18</f>
        <v>87356</v>
      </c>
      <c r="U30" s="13"/>
      <c r="V30" s="20">
        <f>IF(T$12=0,0,T30/T$12)</f>
        <v>0.43331994027688903</v>
      </c>
      <c r="W30" s="15"/>
      <c r="X30" s="21">
        <f>+P30-T30</f>
        <v>-58115.119999999988</v>
      </c>
      <c r="Y30" s="15"/>
      <c r="Z30" s="20">
        <f>IF(T30=0,0,X30/T30)</f>
        <v>-0.66526764045972786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5" t="s">
        <v>295</v>
      </c>
      <c r="C32" s="10"/>
      <c r="D32" s="22">
        <f>SUM(OSRRefD22x_0)</f>
        <v>8618.59</v>
      </c>
      <c r="E32" s="22"/>
      <c r="F32" s="34">
        <f t="shared" ref="F32:F41" si="12">IF(D$12=0,0,D32/D$12)</f>
        <v>0.33975558037342174</v>
      </c>
      <c r="G32" s="22"/>
      <c r="H32" s="22">
        <f>SUM(OSRRefH22x_0)</f>
        <v>12951.0195</v>
      </c>
      <c r="I32" s="22"/>
      <c r="J32" s="34">
        <f t="shared" ref="J32:J41" si="13">IF(H$12=0,0,H32/H$12)</f>
        <v>0.17975044413601665</v>
      </c>
      <c r="K32" s="4"/>
      <c r="L32" s="22">
        <f t="shared" ref="L32:L41" si="14">+D32-H32</f>
        <v>-4332.4295000000002</v>
      </c>
      <c r="M32" s="4"/>
      <c r="N32" s="34">
        <f t="shared" ref="N32:N41" si="15">IF(H32=0,0,L32/H32)</f>
        <v>-0.33452420483190531</v>
      </c>
      <c r="O32" s="10"/>
      <c r="P32" s="22">
        <f>SUM(OSRRefP22x_0)</f>
        <v>14216.890000000001</v>
      </c>
      <c r="Q32" s="22"/>
      <c r="R32" s="34">
        <f t="shared" ref="R32:R41" si="16">IF(P$12=0,0,P32/P$12)</f>
        <v>0.2104885616933023</v>
      </c>
      <c r="S32" s="22"/>
      <c r="T32" s="22">
        <f>SUM(OSRRefT22x_0)</f>
        <v>47056.307549999998</v>
      </c>
      <c r="U32" s="22"/>
      <c r="V32" s="34">
        <f t="shared" ref="V32:V41" si="17">IF(T$12=0,0,T32/T$12)</f>
        <v>0.23341769743597374</v>
      </c>
      <c r="W32" s="4"/>
      <c r="X32" s="22">
        <f t="shared" ref="X32:X41" si="18">+P32-T32</f>
        <v>-32839.417549999998</v>
      </c>
      <c r="Y32" s="4"/>
      <c r="Z32" s="34">
        <f t="shared" ref="Z32:Z41" si="19">IF(T32=0,0,X32/T32)</f>
        <v>-0.6978749345155536</v>
      </c>
    </row>
    <row r="33" spans="1:26" s="28" customFormat="1" outlineLevel="1" collapsed="1" x14ac:dyDescent="0.25">
      <c r="A33" s="29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130.36000000000001</v>
      </c>
      <c r="E33" s="1"/>
      <c r="F33" s="5">
        <f t="shared" si="12"/>
        <v>5.1389539887010827E-3</v>
      </c>
      <c r="G33" s="1"/>
      <c r="H33" s="1">
        <f>SUM(OSRRefH22_0x_0)</f>
        <v>717.01949999999999</v>
      </c>
      <c r="I33" s="1"/>
      <c r="J33" s="5">
        <f t="shared" si="13"/>
        <v>9.9516932685634971E-3</v>
      </c>
      <c r="K33" s="1"/>
      <c r="L33" s="1">
        <f t="shared" si="14"/>
        <v>-586.65949999999998</v>
      </c>
      <c r="M33" s="1"/>
      <c r="N33" s="5">
        <f t="shared" si="15"/>
        <v>-0.81819183439223064</v>
      </c>
      <c r="O33" s="14"/>
      <c r="P33" s="1">
        <f>SUM(OSRRefP22_0x_0)</f>
        <v>130.36000000000001</v>
      </c>
      <c r="Q33" s="1"/>
      <c r="R33" s="5">
        <f t="shared" si="16"/>
        <v>1.930048618392552E-3</v>
      </c>
      <c r="S33" s="1"/>
      <c r="T33" s="1">
        <f>SUM(OSRRefT22_0x_0)</f>
        <v>3652.3075499999995</v>
      </c>
      <c r="U33" s="1"/>
      <c r="V33" s="5">
        <f t="shared" si="17"/>
        <v>1.8116874507061113E-2</v>
      </c>
      <c r="W33" s="1"/>
      <c r="X33" s="1">
        <f t="shared" si="18"/>
        <v>-3521.9475499999994</v>
      </c>
      <c r="Y33" s="1"/>
      <c r="Z33" s="5">
        <f t="shared" si="19"/>
        <v>-0.96430749650313541</v>
      </c>
    </row>
    <row r="34" spans="1:26" s="24" customFormat="1" hidden="1" outlineLevel="2" x14ac:dyDescent="0.25">
      <c r="A34" s="27"/>
      <c r="B34" s="11" t="str">
        <f>CONCATENATE("          ", "6111", " - ", "F.I.C.A.")</f>
        <v xml:space="preserve">          6111 - F.I.C.A.</v>
      </c>
      <c r="C34" s="11"/>
      <c r="D34" s="7">
        <v>10.31</v>
      </c>
      <c r="E34" s="2"/>
      <c r="F34" s="6">
        <f t="shared" si="12"/>
        <v>4.0643307474308188E-4</v>
      </c>
      <c r="G34" s="2"/>
      <c r="H34" s="7">
        <v>183.672</v>
      </c>
      <c r="I34" s="2"/>
      <c r="J34" s="6">
        <f t="shared" si="13"/>
        <v>2.5492297015961137E-3</v>
      </c>
      <c r="K34" s="2"/>
      <c r="L34" s="7">
        <f t="shared" si="14"/>
        <v>-173.36199999999999</v>
      </c>
      <c r="M34" s="2"/>
      <c r="N34" s="6">
        <f t="shared" si="15"/>
        <v>-0.94386732871640755</v>
      </c>
      <c r="O34" s="11"/>
      <c r="P34" s="7">
        <v>10.31</v>
      </c>
      <c r="Q34" s="2"/>
      <c r="R34" s="6">
        <f t="shared" si="16"/>
        <v>1.5264499275565517E-4</v>
      </c>
      <c r="S34" s="2"/>
      <c r="T34" s="7">
        <v>1732.2565500000001</v>
      </c>
      <c r="U34" s="2"/>
      <c r="V34" s="6">
        <f t="shared" si="17"/>
        <v>8.5926702778315149E-3</v>
      </c>
      <c r="W34" s="2"/>
      <c r="X34" s="7">
        <f t="shared" si="18"/>
        <v>-1721.9465500000001</v>
      </c>
      <c r="Y34" s="2"/>
      <c r="Z34" s="6">
        <f t="shared" si="19"/>
        <v>-0.99404822570883056</v>
      </c>
    </row>
    <row r="35" spans="1:26" s="24" customFormat="1" hidden="1" outlineLevel="2" x14ac:dyDescent="0.25">
      <c r="A35" s="27"/>
      <c r="B35" s="11" t="str">
        <f>CONCATENATE("          ", "6112", " - ", "COMPENSATION INSURANCE")</f>
        <v xml:space="preserve">          6112 - COMPENSATION INSURANCE</v>
      </c>
      <c r="C35" s="11"/>
      <c r="D35" s="7">
        <v>102.11</v>
      </c>
      <c r="E35" s="2"/>
      <c r="F35" s="6">
        <f t="shared" si="12"/>
        <v>4.0253037111557801E-3</v>
      </c>
      <c r="G35" s="2"/>
      <c r="H35" s="7">
        <v>158.72999999999999</v>
      </c>
      <c r="I35" s="2"/>
      <c r="J35" s="6">
        <f t="shared" si="13"/>
        <v>2.2030534351145038E-3</v>
      </c>
      <c r="K35" s="2"/>
      <c r="L35" s="7">
        <f t="shared" si="14"/>
        <v>-56.61999999999999</v>
      </c>
      <c r="M35" s="2"/>
      <c r="N35" s="6">
        <f t="shared" si="15"/>
        <v>-0.35670635670635664</v>
      </c>
      <c r="O35" s="11"/>
      <c r="P35" s="7">
        <v>102.11</v>
      </c>
      <c r="Q35" s="2"/>
      <c r="R35" s="6">
        <f t="shared" si="16"/>
        <v>1.5117924549253104E-3</v>
      </c>
      <c r="S35" s="2"/>
      <c r="T35" s="7">
        <v>571.428</v>
      </c>
      <c r="U35" s="2"/>
      <c r="V35" s="6">
        <f t="shared" si="17"/>
        <v>2.834506465870028E-3</v>
      </c>
      <c r="W35" s="2"/>
      <c r="X35" s="7">
        <f t="shared" si="18"/>
        <v>-469.31799999999998</v>
      </c>
      <c r="Y35" s="2"/>
      <c r="Z35" s="6">
        <f t="shared" si="19"/>
        <v>-0.82130732130732131</v>
      </c>
    </row>
    <row r="36" spans="1:26" s="24" customFormat="1" hidden="1" outlineLevel="2" x14ac:dyDescent="0.25">
      <c r="A36" s="27"/>
      <c r="B36" s="11" t="str">
        <f>CONCATENATE("          ", "6113", " - ", "GROUP INSURANCE")</f>
        <v xml:space="preserve">          6113 - GROUP INSURANCE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7"/>
      <c r="B37" s="11" t="str">
        <f>CONCATENATE("          ", "6114", " - ", "STATE UNEMPLOYMENT INSURANCE")</f>
        <v xml:space="preserve">          6114 - STATE UNEMPLOYMENT INSURANCE</v>
      </c>
      <c r="C37" s="11"/>
      <c r="D37" s="7">
        <v>17.940000000000001</v>
      </c>
      <c r="E37" s="2"/>
      <c r="F37" s="6">
        <f t="shared" si="12"/>
        <v>7.0721720280222011E-4</v>
      </c>
      <c r="G37" s="2"/>
      <c r="H37" s="7">
        <v>21.3675</v>
      </c>
      <c r="I37" s="2"/>
      <c r="J37" s="6">
        <f t="shared" si="13"/>
        <v>2.9656488549618319E-4</v>
      </c>
      <c r="K37" s="2"/>
      <c r="L37" s="7">
        <f t="shared" si="14"/>
        <v>-3.4274999999999984</v>
      </c>
      <c r="M37" s="2"/>
      <c r="N37" s="6">
        <f t="shared" si="15"/>
        <v>-0.16040716040716033</v>
      </c>
      <c r="O37" s="11"/>
      <c r="P37" s="7">
        <v>17.940000000000001</v>
      </c>
      <c r="Q37" s="2"/>
      <c r="R37" s="6">
        <f t="shared" si="16"/>
        <v>2.6561117071158621E-4</v>
      </c>
      <c r="S37" s="2"/>
      <c r="T37" s="7">
        <v>76.923000000000002</v>
      </c>
      <c r="U37" s="2"/>
      <c r="V37" s="6">
        <f t="shared" si="17"/>
        <v>3.8156817809788837E-4</v>
      </c>
      <c r="W37" s="2"/>
      <c r="X37" s="7">
        <f t="shared" si="18"/>
        <v>-58.983000000000004</v>
      </c>
      <c r="Y37" s="2"/>
      <c r="Z37" s="6">
        <f t="shared" si="19"/>
        <v>-0.76677976677976678</v>
      </c>
    </row>
    <row r="38" spans="1:26" s="24" customFormat="1" hidden="1" outlineLevel="2" x14ac:dyDescent="0.25">
      <c r="A38" s="27"/>
      <c r="B38" s="11" t="str">
        <f>CONCATENATE("          ", "6115", " - ", "P.E.R.S.")</f>
        <v xml:space="preserve">          6115 - P.E.R.S.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0</v>
      </c>
      <c r="Y38" s="2"/>
      <c r="Z38" s="6">
        <f t="shared" si="19"/>
        <v>0</v>
      </c>
    </row>
    <row r="39" spans="1:26" s="24" customFormat="1" hidden="1" outlineLevel="2" x14ac:dyDescent="0.25">
      <c r="A39" s="27"/>
      <c r="B39" s="11" t="str">
        <f>CONCATENATE("          ", "6116", " - ", "EDUCATIONAL BENEFITS")</f>
        <v xml:space="preserve">          6116 - EDUCATIONAL BENEFITS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7"/>
      <c r="B40" s="11" t="str">
        <f>CONCATENATE("          ", "6118", " - ", "VACATION")</f>
        <v xml:space="preserve">          6118 - VACATION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7"/>
      <c r="B41" s="11" t="str">
        <f>CONCATENATE("          ", "6119", " - ", "SICK LEAVE")</f>
        <v xml:space="preserve">          6119 - SICK LEAVE</v>
      </c>
      <c r="C41" s="11"/>
      <c r="D41" s="7"/>
      <c r="E41" s="2"/>
      <c r="F41" s="6">
        <f t="shared" si="12"/>
        <v>0</v>
      </c>
      <c r="G41" s="2"/>
      <c r="H41" s="7">
        <v>353.25</v>
      </c>
      <c r="I41" s="2"/>
      <c r="J41" s="6">
        <f t="shared" si="13"/>
        <v>4.9028452463566966E-3</v>
      </c>
      <c r="K41" s="2"/>
      <c r="L41" s="7">
        <f t="shared" si="14"/>
        <v>-353.25</v>
      </c>
      <c r="M41" s="2"/>
      <c r="N41" s="6">
        <f t="shared" si="15"/>
        <v>-1</v>
      </c>
      <c r="O41" s="11"/>
      <c r="P41" s="7"/>
      <c r="Q41" s="2"/>
      <c r="R41" s="6">
        <f t="shared" si="16"/>
        <v>0</v>
      </c>
      <c r="S41" s="2"/>
      <c r="T41" s="7">
        <v>1271.7</v>
      </c>
      <c r="U41" s="2"/>
      <c r="V41" s="6">
        <f t="shared" si="17"/>
        <v>6.3081295852616855E-3</v>
      </c>
      <c r="W41" s="2"/>
      <c r="X41" s="7">
        <f t="shared" si="18"/>
        <v>-1271.7</v>
      </c>
      <c r="Y41" s="2"/>
      <c r="Z41" s="6">
        <f t="shared" si="19"/>
        <v>-1</v>
      </c>
    </row>
    <row r="42" spans="1:26" s="28" customFormat="1" outlineLevel="1" collapsed="1" x14ac:dyDescent="0.25">
      <c r="A42" s="29"/>
      <c r="B42" s="14" t="str">
        <f>CONCATENATE("     ","*Payroll                                          ")</f>
        <v xml:space="preserve">     *Payroll                                          </v>
      </c>
      <c r="C42" s="14"/>
      <c r="D42" s="1">
        <f>SUM(OSRRefD22_1x_0)</f>
        <v>5956.91</v>
      </c>
      <c r="E42" s="1"/>
      <c r="F42" s="5">
        <f t="shared" ref="F42:F52" si="20">IF(D$12=0,0,D42/D$12)</f>
        <v>0.23482883096681006</v>
      </c>
      <c r="G42" s="1"/>
      <c r="H42" s="1">
        <f>SUM(OSRRefH22_1x_0)</f>
        <v>10055</v>
      </c>
      <c r="I42" s="1"/>
      <c r="J42" s="5">
        <f t="shared" ref="J42:J52" si="21">IF(H$12=0,0,H42/H$12)</f>
        <v>0.13955586398334491</v>
      </c>
      <c r="K42" s="1"/>
      <c r="L42" s="1">
        <f t="shared" ref="L42:L52" si="22">+D42-H42</f>
        <v>-4098.09</v>
      </c>
      <c r="M42" s="1"/>
      <c r="N42" s="5">
        <f t="shared" ref="N42:N52" si="23">IF(H42=0,0,L42/H42)</f>
        <v>-0.40756737941322724</v>
      </c>
      <c r="O42" s="14"/>
      <c r="P42" s="1">
        <f>SUM(OSRRefP22_1x_0)</f>
        <v>5956.91</v>
      </c>
      <c r="Q42" s="1"/>
      <c r="R42" s="5">
        <f t="shared" ref="R42:R52" si="24">IF(P$12=0,0,P42/P$12)</f>
        <v>8.8195197264412203E-2</v>
      </c>
      <c r="S42" s="1"/>
      <c r="T42" s="1">
        <f>SUM(OSRRefT22_1x_0)</f>
        <v>36198</v>
      </c>
      <c r="U42" s="1"/>
      <c r="V42" s="5">
        <f t="shared" ref="V42:V52" si="25">IF(T$12=0,0,T42/T$12)</f>
        <v>0.1795562433964791</v>
      </c>
      <c r="W42" s="1"/>
      <c r="X42" s="1">
        <f t="shared" ref="X42:X52" si="26">+P42-T42</f>
        <v>-30241.09</v>
      </c>
      <c r="Y42" s="1"/>
      <c r="Z42" s="5">
        <f t="shared" ref="Z42:Z52" si="27">IF(T42=0,0,X42/T42)</f>
        <v>-0.83543538317034094</v>
      </c>
    </row>
    <row r="43" spans="1:26" s="24" customFormat="1" hidden="1" outlineLevel="2" x14ac:dyDescent="0.25">
      <c r="A43" s="27"/>
      <c r="B43" s="11" t="str">
        <f>CONCATENATE("          ", "6001", " - ", "ADMINISTRATIVE SALARIES")</f>
        <v xml:space="preserve">          6001 - ADMINISTRATIVE SALARIES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7"/>
      <c r="B44" s="11" t="str">
        <f>CONCATENATE("          ", "6002", " - ", "STAFF SALARIES")</f>
        <v xml:space="preserve">          6002 - STAFF SALARIES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7"/>
      <c r="B45" s="11" t="str">
        <f>CONCATENATE("          ", "6003", " - ", "STAFF HOURLY-9 MONTH")</f>
        <v xml:space="preserve">          6003 - STAFF HOURLY-9 MONTH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7"/>
      <c r="B46" s="11" t="str">
        <f>CONCATENATE("          ", "6004", " - ", "STAFF HOURLY")</f>
        <v xml:space="preserve">          6004 - STAFF HOURLY</v>
      </c>
      <c r="C46" s="11"/>
      <c r="D46" s="7"/>
      <c r="E46" s="2"/>
      <c r="F46" s="6">
        <f t="shared" si="20"/>
        <v>0</v>
      </c>
      <c r="G46" s="2"/>
      <c r="H46" s="7">
        <v>2280</v>
      </c>
      <c r="I46" s="2"/>
      <c r="J46" s="6">
        <f t="shared" si="21"/>
        <v>3.164469118667592E-2</v>
      </c>
      <c r="K46" s="2"/>
      <c r="L46" s="7">
        <f t="shared" si="22"/>
        <v>-2280</v>
      </c>
      <c r="M46" s="2"/>
      <c r="N46" s="6">
        <f t="shared" si="23"/>
        <v>-1</v>
      </c>
      <c r="O46" s="11"/>
      <c r="P46" s="7"/>
      <c r="Q46" s="2"/>
      <c r="R46" s="6">
        <f t="shared" si="24"/>
        <v>0</v>
      </c>
      <c r="S46" s="2"/>
      <c r="T46" s="7">
        <v>8208</v>
      </c>
      <c r="U46" s="2"/>
      <c r="V46" s="6">
        <f t="shared" si="25"/>
        <v>4.0714891590648672E-2</v>
      </c>
      <c r="W46" s="2"/>
      <c r="X46" s="7">
        <f t="shared" si="26"/>
        <v>-8208</v>
      </c>
      <c r="Y46" s="2"/>
      <c r="Z46" s="6">
        <f t="shared" si="27"/>
        <v>-1</v>
      </c>
    </row>
    <row r="47" spans="1:26" s="24" customFormat="1" hidden="1" outlineLevel="2" x14ac:dyDescent="0.25">
      <c r="A47" s="27"/>
      <c r="B47" s="11" t="str">
        <f>CONCATENATE("          ", "6005", " - ", "TEMPORARY WAGES-HOURLY")</f>
        <v xml:space="preserve">          6005 - TEMPORARY WAGES-HOURLY</v>
      </c>
      <c r="C47" s="11"/>
      <c r="D47" s="7">
        <v>134.81</v>
      </c>
      <c r="E47" s="2"/>
      <c r="F47" s="6">
        <f t="shared" si="20"/>
        <v>5.3143785456949439E-3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134.81</v>
      </c>
      <c r="M47" s="2"/>
      <c r="N47" s="6">
        <f t="shared" si="23"/>
        <v>0</v>
      </c>
      <c r="O47" s="11"/>
      <c r="P47" s="7">
        <v>134.81</v>
      </c>
      <c r="Q47" s="2"/>
      <c r="R47" s="6">
        <f t="shared" si="24"/>
        <v>1.995933217593586E-3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134.81</v>
      </c>
      <c r="Y47" s="2"/>
      <c r="Z47" s="6">
        <f t="shared" si="27"/>
        <v>0</v>
      </c>
    </row>
    <row r="48" spans="1:26" s="24" customFormat="1" hidden="1" outlineLevel="2" x14ac:dyDescent="0.25">
      <c r="A48" s="27"/>
      <c r="B48" s="11" t="str">
        <f>CONCATENATE("          ", "6006", " - ", "TEMPORARY PART TIME")</f>
        <v xml:space="preserve">          6006 - TEMPORARY PART TIME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25">
      <c r="A49" s="27"/>
      <c r="B49" s="11" t="str">
        <f>CONCATENATE("          ", "6007", " - ", "STUDENT HOURLY")</f>
        <v xml:space="preserve">          6007 - STUDENT HOURLY</v>
      </c>
      <c r="C49" s="11"/>
      <c r="D49" s="7">
        <v>5003.49</v>
      </c>
      <c r="E49" s="2"/>
      <c r="F49" s="6">
        <f t="shared" si="20"/>
        <v>0.19724382397150947</v>
      </c>
      <c r="G49" s="2"/>
      <c r="H49" s="7">
        <v>0</v>
      </c>
      <c r="I49" s="2"/>
      <c r="J49" s="6">
        <f t="shared" si="21"/>
        <v>0</v>
      </c>
      <c r="K49" s="2"/>
      <c r="L49" s="7">
        <f t="shared" si="22"/>
        <v>5003.49</v>
      </c>
      <c r="M49" s="2"/>
      <c r="N49" s="6">
        <f t="shared" si="23"/>
        <v>0</v>
      </c>
      <c r="O49" s="11"/>
      <c r="P49" s="7">
        <v>5003.49</v>
      </c>
      <c r="Q49" s="2"/>
      <c r="R49" s="6">
        <f t="shared" si="24"/>
        <v>7.4079310844131233E-2</v>
      </c>
      <c r="S49" s="2"/>
      <c r="T49" s="7">
        <v>13995</v>
      </c>
      <c r="U49" s="2"/>
      <c r="V49" s="6">
        <f t="shared" si="25"/>
        <v>6.9420675902915216E-2</v>
      </c>
      <c r="W49" s="2"/>
      <c r="X49" s="7">
        <f t="shared" si="26"/>
        <v>-8991.51</v>
      </c>
      <c r="Y49" s="2"/>
      <c r="Z49" s="6">
        <f t="shared" si="27"/>
        <v>-0.64248017148981784</v>
      </c>
    </row>
    <row r="50" spans="1:26" s="24" customFormat="1" hidden="1" outlineLevel="2" x14ac:dyDescent="0.25">
      <c r="A50" s="27"/>
      <c r="B50" s="11" t="str">
        <f>CONCATENATE("          ", "6008", " - ", "STUDENT HOURLY-FICA EXEMPT")</f>
        <v xml:space="preserve">          6008 - STUDENT HOURLY-FICA EXEMPT</v>
      </c>
      <c r="C50" s="11"/>
      <c r="D50" s="7">
        <v>818.61</v>
      </c>
      <c r="E50" s="2"/>
      <c r="F50" s="6">
        <f t="shared" si="20"/>
        <v>3.2270628449605654E-2</v>
      </c>
      <c r="G50" s="2"/>
      <c r="H50" s="7">
        <v>7775</v>
      </c>
      <c r="I50" s="2"/>
      <c r="J50" s="6">
        <f t="shared" si="21"/>
        <v>0.10791117279666898</v>
      </c>
      <c r="K50" s="2"/>
      <c r="L50" s="7">
        <f t="shared" si="22"/>
        <v>-6956.39</v>
      </c>
      <c r="M50" s="2"/>
      <c r="N50" s="6">
        <f t="shared" si="23"/>
        <v>-0.89471254019292612</v>
      </c>
      <c r="O50" s="11"/>
      <c r="P50" s="7">
        <v>818.61</v>
      </c>
      <c r="Q50" s="2"/>
      <c r="R50" s="6">
        <f t="shared" si="24"/>
        <v>1.211995320268738E-2</v>
      </c>
      <c r="S50" s="2"/>
      <c r="T50" s="7">
        <v>13995</v>
      </c>
      <c r="U50" s="2"/>
      <c r="V50" s="6">
        <f t="shared" si="25"/>
        <v>6.9420675902915216E-2</v>
      </c>
      <c r="W50" s="2"/>
      <c r="X50" s="7">
        <f t="shared" si="26"/>
        <v>-13176.39</v>
      </c>
      <c r="Y50" s="2"/>
      <c r="Z50" s="6">
        <f t="shared" si="27"/>
        <v>-0.94150696677384771</v>
      </c>
    </row>
    <row r="51" spans="1:26" s="24" customFormat="1" hidden="1" outlineLevel="2" x14ac:dyDescent="0.25">
      <c r="A51" s="27"/>
      <c r="B51" s="11" t="str">
        <f>CONCATENATE("          ", "6009", " - ", "TEMPORARY-SEASONAL")</f>
        <v xml:space="preserve">          6009 - TEMPORARY-SEASONAL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4" customFormat="1" hidden="1" outlineLevel="2" x14ac:dyDescent="0.25">
      <c r="A52" s="27"/>
      <c r="B52" s="11" t="str">
        <f>CONCATENATE("          ", "6010", " - ", "GRATUITY")</f>
        <v xml:space="preserve">          6010 - GRATUITY</v>
      </c>
      <c r="C52" s="11"/>
      <c r="D52" s="7"/>
      <c r="E52" s="2"/>
      <c r="F52" s="6">
        <f t="shared" si="20"/>
        <v>0</v>
      </c>
      <c r="G52" s="2"/>
      <c r="H52" s="7">
        <v>0</v>
      </c>
      <c r="I52" s="2"/>
      <c r="J52" s="6">
        <f t="shared" si="21"/>
        <v>0</v>
      </c>
      <c r="K52" s="2"/>
      <c r="L52" s="7">
        <f t="shared" si="22"/>
        <v>0</v>
      </c>
      <c r="M52" s="2"/>
      <c r="N52" s="6">
        <f t="shared" si="23"/>
        <v>0</v>
      </c>
      <c r="O52" s="11"/>
      <c r="P52" s="7"/>
      <c r="Q52" s="2"/>
      <c r="R52" s="6">
        <f t="shared" si="24"/>
        <v>0</v>
      </c>
      <c r="S52" s="2"/>
      <c r="T52" s="7">
        <v>0</v>
      </c>
      <c r="U52" s="2"/>
      <c r="V52" s="6">
        <f t="shared" si="25"/>
        <v>0</v>
      </c>
      <c r="W52" s="2"/>
      <c r="X52" s="7">
        <f t="shared" si="26"/>
        <v>0</v>
      </c>
      <c r="Y52" s="2"/>
      <c r="Z52" s="6">
        <f t="shared" si="27"/>
        <v>0</v>
      </c>
    </row>
    <row r="53" spans="1:26" s="28" customFormat="1" outlineLevel="1" collapsed="1" x14ac:dyDescent="0.25">
      <c r="A53" s="29"/>
      <c r="B53" s="14" t="str">
        <f>CONCATENATE("     ","Advertising/Promo                                 ")</f>
        <v xml:space="preserve">     Advertising/Promo                                 </v>
      </c>
      <c r="C53" s="14"/>
      <c r="D53" s="1">
        <f>SUM(OSRRefD22_2x_0)</f>
        <v>15.88</v>
      </c>
      <c r="E53" s="1"/>
      <c r="F53" s="5">
        <f t="shared" ref="F53:F61" si="28">IF(D$12=0,0,D53/D$12)</f>
        <v>6.2600943035112904E-4</v>
      </c>
      <c r="G53" s="1"/>
      <c r="H53" s="1">
        <f>SUM(OSRRefH22_2x_0)</f>
        <v>50</v>
      </c>
      <c r="I53" s="1"/>
      <c r="J53" s="5">
        <f t="shared" ref="J53:J61" si="29">IF(H$12=0,0,H53/H$12)</f>
        <v>6.939625260235947E-4</v>
      </c>
      <c r="K53" s="1"/>
      <c r="L53" s="1">
        <f t="shared" ref="L53:L61" si="30">+D53-H53</f>
        <v>-34.119999999999997</v>
      </c>
      <c r="M53" s="1"/>
      <c r="N53" s="5">
        <f t="shared" ref="N53:N61" si="31">IF(H53=0,0,L53/H53)</f>
        <v>-0.6823999999999999</v>
      </c>
      <c r="O53" s="14"/>
      <c r="P53" s="1">
        <f>SUM(OSRRefP22_2x_0)</f>
        <v>168.8</v>
      </c>
      <c r="Q53" s="1"/>
      <c r="R53" s="5">
        <f t="shared" ref="R53:R61" si="32">IF(P$12=0,0,P53/P$12)</f>
        <v>2.4991731112662071E-3</v>
      </c>
      <c r="S53" s="1"/>
      <c r="T53" s="1">
        <f>SUM(OSRRefT22_2x_0)</f>
        <v>200</v>
      </c>
      <c r="U53" s="1"/>
      <c r="V53" s="5">
        <f t="shared" ref="V53:V61" si="33">IF(T$12=0,0,T53/T$12)</f>
        <v>9.9207825513276493E-4</v>
      </c>
      <c r="W53" s="1"/>
      <c r="X53" s="1">
        <f t="shared" ref="X53:X61" si="34">+P53-T53</f>
        <v>-31.199999999999989</v>
      </c>
      <c r="Y53" s="1"/>
      <c r="Z53" s="5">
        <f t="shared" ref="Z53:Z61" si="35">IF(T53=0,0,X53/T53)</f>
        <v>-0.15599999999999994</v>
      </c>
    </row>
    <row r="54" spans="1:26" s="24" customFormat="1" hidden="1" outlineLevel="2" x14ac:dyDescent="0.25">
      <c r="A54" s="27"/>
      <c r="B54" s="11" t="str">
        <f>CONCATENATE("          ", "6362", " - ", "ADVERTISING EXPENSE")</f>
        <v xml:space="preserve">          6362 - ADVERTISING EXPENSE</v>
      </c>
      <c r="C54" s="11"/>
      <c r="D54" s="7">
        <v>15.88</v>
      </c>
      <c r="E54" s="2"/>
      <c r="F54" s="6">
        <f t="shared" si="28"/>
        <v>6.2600943035112904E-4</v>
      </c>
      <c r="G54" s="2"/>
      <c r="H54" s="7">
        <v>50</v>
      </c>
      <c r="I54" s="2"/>
      <c r="J54" s="6">
        <f t="shared" si="29"/>
        <v>6.939625260235947E-4</v>
      </c>
      <c r="K54" s="2"/>
      <c r="L54" s="7">
        <f t="shared" si="30"/>
        <v>-34.119999999999997</v>
      </c>
      <c r="M54" s="2"/>
      <c r="N54" s="6">
        <f t="shared" si="31"/>
        <v>-0.6823999999999999</v>
      </c>
      <c r="O54" s="11"/>
      <c r="P54" s="7">
        <v>168.8</v>
      </c>
      <c r="Q54" s="2"/>
      <c r="R54" s="6">
        <f t="shared" si="32"/>
        <v>2.4991731112662071E-3</v>
      </c>
      <c r="S54" s="2"/>
      <c r="T54" s="7">
        <v>200</v>
      </c>
      <c r="U54" s="2"/>
      <c r="V54" s="6">
        <f t="shared" si="33"/>
        <v>9.9207825513276493E-4</v>
      </c>
      <c r="W54" s="2"/>
      <c r="X54" s="7">
        <f t="shared" si="34"/>
        <v>-31.199999999999989</v>
      </c>
      <c r="Y54" s="2"/>
      <c r="Z54" s="6">
        <f t="shared" si="35"/>
        <v>-0.15599999999999994</v>
      </c>
    </row>
    <row r="55" spans="1:26" s="28" customFormat="1" outlineLevel="1" collapsed="1" x14ac:dyDescent="0.25">
      <c r="A55" s="29"/>
      <c r="B55" s="14" t="str">
        <f>CONCATENATE("     ","Bad Debts/Over/Short                              ")</f>
        <v xml:space="preserve">     Bad Debts/Over/Short                              </v>
      </c>
      <c r="C55" s="14"/>
      <c r="D55" s="1">
        <f>SUM(OSRRefD22_3x_0)</f>
        <v>0.44</v>
      </c>
      <c r="E55" s="1"/>
      <c r="F55" s="5">
        <f t="shared" si="28"/>
        <v>1.7345349455572844E-5</v>
      </c>
      <c r="G55" s="1"/>
      <c r="H55" s="1">
        <f>SUM(OSRRefH22_3x_0)</f>
        <v>25</v>
      </c>
      <c r="I55" s="1"/>
      <c r="J55" s="5">
        <f t="shared" si="29"/>
        <v>3.4698126301179735E-4</v>
      </c>
      <c r="K55" s="1"/>
      <c r="L55" s="1">
        <f t="shared" si="30"/>
        <v>-24.56</v>
      </c>
      <c r="M55" s="1"/>
      <c r="N55" s="5">
        <f t="shared" si="31"/>
        <v>-0.98239999999999994</v>
      </c>
      <c r="O55" s="14"/>
      <c r="P55" s="1">
        <f>SUM(OSRRefP22_3x_0)</f>
        <v>-2.89</v>
      </c>
      <c r="Q55" s="1"/>
      <c r="R55" s="5">
        <f t="shared" si="32"/>
        <v>-4.2787975660896552E-5</v>
      </c>
      <c r="S55" s="1"/>
      <c r="T55" s="1">
        <f>SUM(OSRRefT22_3x_0)</f>
        <v>100</v>
      </c>
      <c r="U55" s="1"/>
      <c r="V55" s="5">
        <f t="shared" si="33"/>
        <v>4.9603912756638246E-4</v>
      </c>
      <c r="W55" s="1"/>
      <c r="X55" s="1">
        <f t="shared" si="34"/>
        <v>-102.89</v>
      </c>
      <c r="Y55" s="1"/>
      <c r="Z55" s="5">
        <f t="shared" si="35"/>
        <v>-1.0288999999999999</v>
      </c>
    </row>
    <row r="56" spans="1:26" s="24" customFormat="1" hidden="1" outlineLevel="2" x14ac:dyDescent="0.25">
      <c r="A56" s="27"/>
      <c r="B56" s="11" t="str">
        <f>CONCATENATE("          ", "6272", " - ", "CASH (OVER/SHORT)")</f>
        <v xml:space="preserve">          6272 - CASH (OVER/SHORT)</v>
      </c>
      <c r="C56" s="11"/>
      <c r="D56" s="7">
        <v>0.44</v>
      </c>
      <c r="E56" s="2"/>
      <c r="F56" s="6">
        <f t="shared" si="28"/>
        <v>1.7345349455572844E-5</v>
      </c>
      <c r="G56" s="2"/>
      <c r="H56" s="7">
        <v>25</v>
      </c>
      <c r="I56" s="2"/>
      <c r="J56" s="6">
        <f t="shared" si="29"/>
        <v>3.4698126301179735E-4</v>
      </c>
      <c r="K56" s="2"/>
      <c r="L56" s="7">
        <f t="shared" si="30"/>
        <v>-24.56</v>
      </c>
      <c r="M56" s="2"/>
      <c r="N56" s="6">
        <f t="shared" si="31"/>
        <v>-0.98239999999999994</v>
      </c>
      <c r="O56" s="11"/>
      <c r="P56" s="7">
        <v>-2.89</v>
      </c>
      <c r="Q56" s="2"/>
      <c r="R56" s="6">
        <f t="shared" si="32"/>
        <v>-4.2787975660896552E-5</v>
      </c>
      <c r="S56" s="2"/>
      <c r="T56" s="7">
        <v>100</v>
      </c>
      <c r="U56" s="2"/>
      <c r="V56" s="6">
        <f t="shared" si="33"/>
        <v>4.9603912756638246E-4</v>
      </c>
      <c r="W56" s="2"/>
      <c r="X56" s="7">
        <f t="shared" si="34"/>
        <v>-102.89</v>
      </c>
      <c r="Y56" s="2"/>
      <c r="Z56" s="6">
        <f t="shared" si="35"/>
        <v>-1.0288999999999999</v>
      </c>
    </row>
    <row r="57" spans="1:26" s="28" customFormat="1" outlineLevel="1" collapsed="1" x14ac:dyDescent="0.25">
      <c r="A57" s="29"/>
      <c r="B57" s="14" t="str">
        <f>CONCATENATE("     ","Bank/card Fees                                    ")</f>
        <v xml:space="preserve">     Bank/card Fees                                    </v>
      </c>
      <c r="C57" s="14"/>
      <c r="D57" s="1">
        <f>SUM(OSRRefD22_4x_0)</f>
        <v>0</v>
      </c>
      <c r="E57" s="1"/>
      <c r="F57" s="5">
        <f t="shared" si="28"/>
        <v>0</v>
      </c>
      <c r="G57" s="1"/>
      <c r="H57" s="1">
        <f>SUM(OSRRefH22_4x_0)</f>
        <v>1319</v>
      </c>
      <c r="I57" s="1"/>
      <c r="J57" s="5">
        <f t="shared" si="29"/>
        <v>1.8306731436502428E-2</v>
      </c>
      <c r="K57" s="1"/>
      <c r="L57" s="1">
        <f t="shared" si="30"/>
        <v>-1319</v>
      </c>
      <c r="M57" s="1"/>
      <c r="N57" s="5">
        <f t="shared" si="31"/>
        <v>-1</v>
      </c>
      <c r="O57" s="14"/>
      <c r="P57" s="1">
        <f>SUM(OSRRefP22_4x_0)</f>
        <v>0</v>
      </c>
      <c r="Q57" s="1"/>
      <c r="R57" s="5">
        <f t="shared" si="32"/>
        <v>0</v>
      </c>
      <c r="S57" s="1"/>
      <c r="T57" s="1">
        <f>SUM(OSRRefT22_4x_0)</f>
        <v>3766</v>
      </c>
      <c r="U57" s="1"/>
      <c r="V57" s="5">
        <f t="shared" si="33"/>
        <v>1.8680833544149962E-2</v>
      </c>
      <c r="W57" s="1"/>
      <c r="X57" s="1">
        <f t="shared" si="34"/>
        <v>-3766</v>
      </c>
      <c r="Y57" s="1"/>
      <c r="Z57" s="5">
        <f t="shared" si="35"/>
        <v>-1</v>
      </c>
    </row>
    <row r="58" spans="1:26" s="24" customFormat="1" hidden="1" outlineLevel="2" x14ac:dyDescent="0.25">
      <c r="A58" s="27"/>
      <c r="B58" s="11" t="str">
        <f>CONCATENATE("          ", "6381", " - ", "BANK/CREDIT CARD FEES")</f>
        <v xml:space="preserve">          6381 - BANK/CREDIT CARD FEES</v>
      </c>
      <c r="C58" s="11"/>
      <c r="D58" s="7"/>
      <c r="E58" s="2"/>
      <c r="F58" s="6">
        <f t="shared" si="28"/>
        <v>0</v>
      </c>
      <c r="G58" s="2"/>
      <c r="H58" s="7">
        <v>1319</v>
      </c>
      <c r="I58" s="2"/>
      <c r="J58" s="6">
        <f t="shared" si="29"/>
        <v>1.8306731436502428E-2</v>
      </c>
      <c r="K58" s="2"/>
      <c r="L58" s="7">
        <f t="shared" si="30"/>
        <v>-1319</v>
      </c>
      <c r="M58" s="2"/>
      <c r="N58" s="6">
        <f t="shared" si="31"/>
        <v>-1</v>
      </c>
      <c r="O58" s="11"/>
      <c r="P58" s="7"/>
      <c r="Q58" s="2"/>
      <c r="R58" s="6">
        <f t="shared" si="32"/>
        <v>0</v>
      </c>
      <c r="S58" s="2"/>
      <c r="T58" s="7">
        <v>3766</v>
      </c>
      <c r="U58" s="2"/>
      <c r="V58" s="6">
        <f t="shared" si="33"/>
        <v>1.8680833544149962E-2</v>
      </c>
      <c r="W58" s="2"/>
      <c r="X58" s="7">
        <f t="shared" si="34"/>
        <v>-3766</v>
      </c>
      <c r="Y58" s="2"/>
      <c r="Z58" s="6">
        <f t="shared" si="35"/>
        <v>-1</v>
      </c>
    </row>
    <row r="59" spans="1:26" s="28" customFormat="1" outlineLevel="1" collapsed="1" x14ac:dyDescent="0.25">
      <c r="A59" s="29"/>
      <c r="B59" s="14" t="str">
        <f>CONCATENATE("     ","Discounts and Markdowns                           ")</f>
        <v xml:space="preserve">     Discounts and Markdowns                           </v>
      </c>
      <c r="C59" s="14"/>
      <c r="D59" s="1">
        <f>SUM(OSRRefD22_5x_0)</f>
        <v>-43.54</v>
      </c>
      <c r="E59" s="1"/>
      <c r="F59" s="5">
        <f t="shared" si="28"/>
        <v>-1.7164011711264583E-3</v>
      </c>
      <c r="G59" s="1"/>
      <c r="H59" s="1">
        <f>SUM(OSRRefH22_5x_0)</f>
        <v>0</v>
      </c>
      <c r="I59" s="1"/>
      <c r="J59" s="5">
        <f t="shared" si="29"/>
        <v>0</v>
      </c>
      <c r="K59" s="1"/>
      <c r="L59" s="1">
        <f t="shared" si="30"/>
        <v>-43.54</v>
      </c>
      <c r="M59" s="1"/>
      <c r="N59" s="5">
        <f t="shared" si="31"/>
        <v>0</v>
      </c>
      <c r="O59" s="14"/>
      <c r="P59" s="1">
        <f>SUM(OSRRefP22_5x_0)</f>
        <v>-43.54</v>
      </c>
      <c r="Q59" s="1"/>
      <c r="R59" s="5">
        <f t="shared" si="32"/>
        <v>-6.4463268521641379E-4</v>
      </c>
      <c r="S59" s="1"/>
      <c r="T59" s="1">
        <f>SUM(OSRRefT22_5x_0)</f>
        <v>0</v>
      </c>
      <c r="U59" s="1"/>
      <c r="V59" s="5">
        <f t="shared" si="33"/>
        <v>0</v>
      </c>
      <c r="W59" s="1"/>
      <c r="X59" s="1">
        <f t="shared" si="34"/>
        <v>-43.54</v>
      </c>
      <c r="Y59" s="1"/>
      <c r="Z59" s="5">
        <f t="shared" si="35"/>
        <v>0</v>
      </c>
    </row>
    <row r="60" spans="1:26" s="24" customFormat="1" hidden="1" outlineLevel="2" x14ac:dyDescent="0.25">
      <c r="A60" s="27"/>
      <c r="B60" s="11" t="str">
        <f>CONCATENATE("          ", "6382", " - ", "DISCOUNTS/MARK DOWNS")</f>
        <v xml:space="preserve">          6382 - DISCOUNTS/MARK DOWNS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/>
      <c r="Q60" s="2"/>
      <c r="R60" s="6">
        <f t="shared" si="32"/>
        <v>0</v>
      </c>
      <c r="S60" s="2"/>
      <c r="T60" s="7">
        <v>0</v>
      </c>
      <c r="U60" s="2"/>
      <c r="V60" s="6">
        <f t="shared" si="33"/>
        <v>0</v>
      </c>
      <c r="W60" s="2"/>
      <c r="X60" s="7">
        <f t="shared" si="34"/>
        <v>0</v>
      </c>
      <c r="Y60" s="2"/>
      <c r="Z60" s="6">
        <f t="shared" si="35"/>
        <v>0</v>
      </c>
    </row>
    <row r="61" spans="1:26" s="24" customFormat="1" hidden="1" outlineLevel="2" x14ac:dyDescent="0.25">
      <c r="A61" s="27"/>
      <c r="B61" s="11" t="str">
        <f>CONCATENATE("          ", "9175", " - ", "EARNED DISCOUNTS")</f>
        <v xml:space="preserve">          9175 - EARNED DISCOUNTS</v>
      </c>
      <c r="C61" s="11"/>
      <c r="D61" s="7">
        <v>-43.54</v>
      </c>
      <c r="E61" s="2"/>
      <c r="F61" s="6">
        <f t="shared" si="28"/>
        <v>-1.7164011711264583E-3</v>
      </c>
      <c r="G61" s="2"/>
      <c r="H61" s="7"/>
      <c r="I61" s="2"/>
      <c r="J61" s="6">
        <f t="shared" si="29"/>
        <v>0</v>
      </c>
      <c r="K61" s="2"/>
      <c r="L61" s="7">
        <f t="shared" si="30"/>
        <v>-43.54</v>
      </c>
      <c r="M61" s="2"/>
      <c r="N61" s="6">
        <f t="shared" si="31"/>
        <v>0</v>
      </c>
      <c r="O61" s="11"/>
      <c r="P61" s="7">
        <v>-43.54</v>
      </c>
      <c r="Q61" s="2"/>
      <c r="R61" s="6">
        <f t="shared" si="32"/>
        <v>-6.4463268521641379E-4</v>
      </c>
      <c r="S61" s="2"/>
      <c r="T61" s="7"/>
      <c r="U61" s="2"/>
      <c r="V61" s="6">
        <f t="shared" si="33"/>
        <v>0</v>
      </c>
      <c r="W61" s="2"/>
      <c r="X61" s="7">
        <f t="shared" si="34"/>
        <v>-43.54</v>
      </c>
      <c r="Y61" s="2"/>
      <c r="Z61" s="6">
        <f t="shared" si="35"/>
        <v>0</v>
      </c>
    </row>
    <row r="62" spans="1:26" s="28" customFormat="1" outlineLevel="1" collapsed="1" x14ac:dyDescent="0.25">
      <c r="A62" s="29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SUM(OSRRefD22_6x_0)</f>
        <v>0</v>
      </c>
      <c r="E62" s="1"/>
      <c r="F62" s="5">
        <f t="shared" ref="F62:F70" si="36">IF(D$12=0,0,D62/D$12)</f>
        <v>0</v>
      </c>
      <c r="G62" s="1"/>
      <c r="H62" s="1">
        <f>SUM(OSRRefH22_6x_0)</f>
        <v>0</v>
      </c>
      <c r="I62" s="1"/>
      <c r="J62" s="5">
        <f t="shared" ref="J62:J70" si="37">IF(H$12=0,0,H62/H$12)</f>
        <v>0</v>
      </c>
      <c r="K62" s="1"/>
      <c r="L62" s="1">
        <f t="shared" ref="L62:L70" si="38">+D62-H62</f>
        <v>0</v>
      </c>
      <c r="M62" s="1"/>
      <c r="N62" s="5">
        <f t="shared" ref="N62:N70" si="39">IF(H62=0,0,L62/H62)</f>
        <v>0</v>
      </c>
      <c r="O62" s="14"/>
      <c r="P62" s="1">
        <f>SUM(OSRRefP22_6x_0)</f>
        <v>54.5</v>
      </c>
      <c r="Q62" s="1"/>
      <c r="R62" s="5">
        <f t="shared" ref="R62:R70" si="40">IF(P$12=0,0,P62/P$12)</f>
        <v>8.0690127111379304E-4</v>
      </c>
      <c r="S62" s="1"/>
      <c r="T62" s="1">
        <f>SUM(OSRRefT22_6x_0)</f>
        <v>0</v>
      </c>
      <c r="U62" s="1"/>
      <c r="V62" s="5">
        <f t="shared" ref="V62:V70" si="41">IF(T$12=0,0,T62/T$12)</f>
        <v>0</v>
      </c>
      <c r="W62" s="1"/>
      <c r="X62" s="1">
        <f t="shared" ref="X62:X70" si="42">+P62-T62</f>
        <v>54.5</v>
      </c>
      <c r="Y62" s="1"/>
      <c r="Z62" s="5">
        <f t="shared" ref="Z62:Z70" si="43">IF(T62=0,0,X62/T62)</f>
        <v>0</v>
      </c>
    </row>
    <row r="63" spans="1:26" s="24" customFormat="1" hidden="1" outlineLevel="2" x14ac:dyDescent="0.25">
      <c r="A63" s="27"/>
      <c r="B63" s="11" t="str">
        <f>CONCATENATE("          ", "6307", " - ", "POSTAGE")</f>
        <v xml:space="preserve">          6307 - POSTAGE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54.5</v>
      </c>
      <c r="Q63" s="2"/>
      <c r="R63" s="6">
        <f t="shared" si="40"/>
        <v>8.0690127111379304E-4</v>
      </c>
      <c r="S63" s="2"/>
      <c r="T63" s="7"/>
      <c r="U63" s="2"/>
      <c r="V63" s="6">
        <f t="shared" si="41"/>
        <v>0</v>
      </c>
      <c r="W63" s="2"/>
      <c r="X63" s="7">
        <f t="shared" si="42"/>
        <v>54.5</v>
      </c>
      <c r="Y63" s="2"/>
      <c r="Z63" s="6">
        <f t="shared" si="43"/>
        <v>0</v>
      </c>
    </row>
    <row r="64" spans="1:26" s="28" customFormat="1" outlineLevel="1" collapsed="1" x14ac:dyDescent="0.25">
      <c r="A64" s="29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SUM(OSRRefD22_7x_0)</f>
        <v>0</v>
      </c>
      <c r="E64" s="1"/>
      <c r="F64" s="5">
        <f t="shared" si="36"/>
        <v>0</v>
      </c>
      <c r="G64" s="1"/>
      <c r="H64" s="1">
        <f>SUM(OSRRefH22_7x_0)</f>
        <v>0</v>
      </c>
      <c r="I64" s="1"/>
      <c r="J64" s="5">
        <f t="shared" si="37"/>
        <v>0</v>
      </c>
      <c r="K64" s="1"/>
      <c r="L64" s="1">
        <f t="shared" si="38"/>
        <v>0</v>
      </c>
      <c r="M64" s="1"/>
      <c r="N64" s="5">
        <f t="shared" si="39"/>
        <v>0</v>
      </c>
      <c r="O64" s="14"/>
      <c r="P64" s="1">
        <f>SUM(OSRRefP22_7x_0)</f>
        <v>228.04</v>
      </c>
      <c r="Q64" s="1"/>
      <c r="R64" s="5">
        <f t="shared" si="40"/>
        <v>3.3762525846750342E-3</v>
      </c>
      <c r="S64" s="1"/>
      <c r="T64" s="1">
        <f>SUM(OSRRefT22_7x_0)</f>
        <v>0</v>
      </c>
      <c r="U64" s="1"/>
      <c r="V64" s="5">
        <f t="shared" si="41"/>
        <v>0</v>
      </c>
      <c r="W64" s="1"/>
      <c r="X64" s="1">
        <f t="shared" si="42"/>
        <v>228.04</v>
      </c>
      <c r="Y64" s="1"/>
      <c r="Z64" s="5">
        <f t="shared" si="43"/>
        <v>0</v>
      </c>
    </row>
    <row r="65" spans="1:26" s="24" customFormat="1" hidden="1" outlineLevel="2" x14ac:dyDescent="0.25">
      <c r="A65" s="27"/>
      <c r="B65" s="11" t="str">
        <f>CONCATENATE("          ", "6279", " - ", "GENERAL EXPENSE")</f>
        <v xml:space="preserve">          6279 - GENERAL EXPENSE</v>
      </c>
      <c r="C65" s="11"/>
      <c r="D65" s="7"/>
      <c r="E65" s="2"/>
      <c r="F65" s="6">
        <f t="shared" si="36"/>
        <v>0</v>
      </c>
      <c r="G65" s="2"/>
      <c r="H65" s="7">
        <v>0</v>
      </c>
      <c r="I65" s="2"/>
      <c r="J65" s="6">
        <f t="shared" si="37"/>
        <v>0</v>
      </c>
      <c r="K65" s="2"/>
      <c r="L65" s="7">
        <f t="shared" si="38"/>
        <v>0</v>
      </c>
      <c r="M65" s="2"/>
      <c r="N65" s="6">
        <f t="shared" si="39"/>
        <v>0</v>
      </c>
      <c r="O65" s="11"/>
      <c r="P65" s="7">
        <v>228.04</v>
      </c>
      <c r="Q65" s="2"/>
      <c r="R65" s="6">
        <f t="shared" si="40"/>
        <v>3.3762525846750342E-3</v>
      </c>
      <c r="S65" s="2"/>
      <c r="T65" s="7">
        <v>0</v>
      </c>
      <c r="U65" s="2"/>
      <c r="V65" s="6">
        <f t="shared" si="41"/>
        <v>0</v>
      </c>
      <c r="W65" s="2"/>
      <c r="X65" s="7">
        <f t="shared" si="42"/>
        <v>228.04</v>
      </c>
      <c r="Y65" s="2"/>
      <c r="Z65" s="6">
        <f t="shared" si="43"/>
        <v>0</v>
      </c>
    </row>
    <row r="66" spans="1:26" s="28" customFormat="1" outlineLevel="1" collapsed="1" x14ac:dyDescent="0.25">
      <c r="A66" s="29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SUM(OSRRefD22_8x_0)</f>
        <v>650</v>
      </c>
      <c r="E66" s="1"/>
      <c r="F66" s="5">
        <f t="shared" si="36"/>
        <v>2.562381169573261E-2</v>
      </c>
      <c r="G66" s="1"/>
      <c r="H66" s="1">
        <f>SUM(OSRRefH22_8x_0)</f>
        <v>650</v>
      </c>
      <c r="I66" s="1"/>
      <c r="J66" s="5">
        <f t="shared" si="37"/>
        <v>9.021512838306732E-3</v>
      </c>
      <c r="K66" s="1"/>
      <c r="L66" s="1">
        <f t="shared" si="38"/>
        <v>0</v>
      </c>
      <c r="M66" s="1"/>
      <c r="N66" s="5">
        <f t="shared" si="39"/>
        <v>0</v>
      </c>
      <c r="O66" s="14"/>
      <c r="P66" s="1">
        <f>SUM(OSRRefP22_8x_0)</f>
        <v>2600</v>
      </c>
      <c r="Q66" s="1"/>
      <c r="R66" s="5">
        <f t="shared" si="40"/>
        <v>3.8494372566896549E-2</v>
      </c>
      <c r="S66" s="1"/>
      <c r="T66" s="1">
        <f>SUM(OSRRefT22_8x_0)</f>
        <v>2600</v>
      </c>
      <c r="U66" s="1"/>
      <c r="V66" s="5">
        <f t="shared" si="41"/>
        <v>1.2897017316725943E-2</v>
      </c>
      <c r="W66" s="1"/>
      <c r="X66" s="1">
        <f t="shared" si="42"/>
        <v>0</v>
      </c>
      <c r="Y66" s="1"/>
      <c r="Z66" s="5">
        <f t="shared" si="43"/>
        <v>0</v>
      </c>
    </row>
    <row r="67" spans="1:26" s="24" customFormat="1" hidden="1" outlineLevel="2" x14ac:dyDescent="0.25">
      <c r="A67" s="27"/>
      <c r="B67" s="11" t="str">
        <f>CONCATENATE("          ", "6408", " - ", "INVENTORY ADJUSTMENT")</f>
        <v xml:space="preserve">          6408 - INVENTORY ADJUSTMENT</v>
      </c>
      <c r="C67" s="11"/>
      <c r="D67" s="7">
        <v>650</v>
      </c>
      <c r="E67" s="2"/>
      <c r="F67" s="6">
        <f t="shared" si="36"/>
        <v>2.562381169573261E-2</v>
      </c>
      <c r="G67" s="2"/>
      <c r="H67" s="7">
        <v>650</v>
      </c>
      <c r="I67" s="2"/>
      <c r="J67" s="6">
        <f t="shared" si="37"/>
        <v>9.021512838306732E-3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>
        <v>2600</v>
      </c>
      <c r="Q67" s="2"/>
      <c r="R67" s="6">
        <f t="shared" si="40"/>
        <v>3.8494372566896549E-2</v>
      </c>
      <c r="S67" s="2"/>
      <c r="T67" s="7">
        <v>2600</v>
      </c>
      <c r="U67" s="2"/>
      <c r="V67" s="6">
        <f t="shared" si="41"/>
        <v>1.2897017316725943E-2</v>
      </c>
      <c r="W67" s="2"/>
      <c r="X67" s="7">
        <f t="shared" si="42"/>
        <v>0</v>
      </c>
      <c r="Y67" s="2"/>
      <c r="Z67" s="6">
        <f t="shared" si="43"/>
        <v>0</v>
      </c>
    </row>
    <row r="68" spans="1:26" s="28" customFormat="1" outlineLevel="1" collapsed="1" x14ac:dyDescent="0.25">
      <c r="A68" s="29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SUM(OSRRefD22_9x_0)</f>
        <v>9.5399999999999991</v>
      </c>
      <c r="E68" s="1"/>
      <c r="F68" s="5">
        <f t="shared" si="36"/>
        <v>3.7607871319582939E-4</v>
      </c>
      <c r="G68" s="1"/>
      <c r="H68" s="1">
        <f>SUM(OSRRefH22_9x_0)</f>
        <v>0</v>
      </c>
      <c r="I68" s="1"/>
      <c r="J68" s="5">
        <f t="shared" si="37"/>
        <v>0</v>
      </c>
      <c r="K68" s="1"/>
      <c r="L68" s="1">
        <f t="shared" si="38"/>
        <v>9.5399999999999991</v>
      </c>
      <c r="M68" s="1"/>
      <c r="N68" s="5">
        <f t="shared" si="39"/>
        <v>0</v>
      </c>
      <c r="O68" s="14"/>
      <c r="P68" s="1">
        <f>SUM(OSRRefP22_9x_0)</f>
        <v>244.32999999999998</v>
      </c>
      <c r="Q68" s="1"/>
      <c r="R68" s="5">
        <f t="shared" si="40"/>
        <v>3.6174346343345516E-3</v>
      </c>
      <c r="S68" s="1"/>
      <c r="T68" s="1">
        <f>SUM(OSRRefT22_9x_0)</f>
        <v>0</v>
      </c>
      <c r="U68" s="1"/>
      <c r="V68" s="5">
        <f t="shared" si="41"/>
        <v>0</v>
      </c>
      <c r="W68" s="1"/>
      <c r="X68" s="1">
        <f t="shared" si="42"/>
        <v>244.32999999999998</v>
      </c>
      <c r="Y68" s="1"/>
      <c r="Z68" s="5">
        <f t="shared" si="43"/>
        <v>0</v>
      </c>
    </row>
    <row r="69" spans="1:26" s="24" customFormat="1" hidden="1" outlineLevel="2" x14ac:dyDescent="0.25">
      <c r="A69" s="27"/>
      <c r="B69" s="11" t="str">
        <f>CONCATENATE("          ", "6373", " - ", "MAINTENANCE CONTRACTS")</f>
        <v xml:space="preserve">          6373 - MAINTENANCE CONTRACTS</v>
      </c>
      <c r="C69" s="11"/>
      <c r="D69" s="7"/>
      <c r="E69" s="2"/>
      <c r="F69" s="6">
        <f t="shared" si="36"/>
        <v>0</v>
      </c>
      <c r="G69" s="2"/>
      <c r="H69" s="7"/>
      <c r="I69" s="2"/>
      <c r="J69" s="6">
        <f t="shared" si="37"/>
        <v>0</v>
      </c>
      <c r="K69" s="2"/>
      <c r="L69" s="7">
        <f t="shared" si="38"/>
        <v>0</v>
      </c>
      <c r="M69" s="2"/>
      <c r="N69" s="6">
        <f t="shared" si="39"/>
        <v>0</v>
      </c>
      <c r="O69" s="11"/>
      <c r="P69" s="7">
        <v>61.11</v>
      </c>
      <c r="Q69" s="2"/>
      <c r="R69" s="6">
        <f t="shared" si="40"/>
        <v>9.0476581060117242E-4</v>
      </c>
      <c r="S69" s="2"/>
      <c r="T69" s="7"/>
      <c r="U69" s="2"/>
      <c r="V69" s="6">
        <f t="shared" si="41"/>
        <v>0</v>
      </c>
      <c r="W69" s="2"/>
      <c r="X69" s="7">
        <f t="shared" si="42"/>
        <v>61.11</v>
      </c>
      <c r="Y69" s="2"/>
      <c r="Z69" s="6">
        <f t="shared" si="43"/>
        <v>0</v>
      </c>
    </row>
    <row r="70" spans="1:26" s="24" customFormat="1" hidden="1" outlineLevel="2" x14ac:dyDescent="0.25">
      <c r="A70" s="27"/>
      <c r="B70" s="11" t="str">
        <f>CONCATENATE("          ", "6375", " - ", "OUTSIDE REPAIRS &amp; MAINTENANCE")</f>
        <v xml:space="preserve">          6375 - OUTSIDE REPAIRS &amp; MAINTENANCE</v>
      </c>
      <c r="C70" s="11"/>
      <c r="D70" s="7">
        <v>9.5399999999999991</v>
      </c>
      <c r="E70" s="2"/>
      <c r="F70" s="6">
        <f t="shared" si="36"/>
        <v>3.7607871319582939E-4</v>
      </c>
      <c r="G70" s="2"/>
      <c r="H70" s="7"/>
      <c r="I70" s="2"/>
      <c r="J70" s="6">
        <f t="shared" si="37"/>
        <v>0</v>
      </c>
      <c r="K70" s="2"/>
      <c r="L70" s="7">
        <f t="shared" si="38"/>
        <v>9.5399999999999991</v>
      </c>
      <c r="M70" s="2"/>
      <c r="N70" s="6">
        <f t="shared" si="39"/>
        <v>0</v>
      </c>
      <c r="O70" s="11"/>
      <c r="P70" s="7">
        <v>183.22</v>
      </c>
      <c r="Q70" s="2"/>
      <c r="R70" s="6">
        <f t="shared" si="40"/>
        <v>2.7126688237333794E-3</v>
      </c>
      <c r="S70" s="2"/>
      <c r="T70" s="7"/>
      <c r="U70" s="2"/>
      <c r="V70" s="6">
        <f t="shared" si="41"/>
        <v>0</v>
      </c>
      <c r="W70" s="2"/>
      <c r="X70" s="7">
        <f t="shared" si="42"/>
        <v>183.22</v>
      </c>
      <c r="Y70" s="2"/>
      <c r="Z70" s="6">
        <f t="shared" si="43"/>
        <v>0</v>
      </c>
    </row>
    <row r="71" spans="1:26" s="28" customFormat="1" outlineLevel="1" collapsed="1" x14ac:dyDescent="0.25">
      <c r="A71" s="29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SUM(OSRRefD22_10x_0)</f>
        <v>426.05</v>
      </c>
      <c r="E71" s="1"/>
      <c r="F71" s="5">
        <f t="shared" ref="F71:F73" si="44">IF(D$12=0,0,D71/D$12)</f>
        <v>1.679542303533366E-2</v>
      </c>
      <c r="G71" s="1"/>
      <c r="H71" s="1">
        <f>SUM(OSRRefH22_10x_0)</f>
        <v>0</v>
      </c>
      <c r="I71" s="1"/>
      <c r="J71" s="5">
        <f t="shared" ref="J71:J73" si="45">IF(H$12=0,0,H71/H$12)</f>
        <v>0</v>
      </c>
      <c r="K71" s="1"/>
      <c r="L71" s="1">
        <f t="shared" ref="L71:L73" si="46">+D71-H71</f>
        <v>426.05</v>
      </c>
      <c r="M71" s="1"/>
      <c r="N71" s="5">
        <f t="shared" ref="N71:N73" si="47">IF(H71=0,0,L71/H71)</f>
        <v>0</v>
      </c>
      <c r="O71" s="14"/>
      <c r="P71" s="1">
        <f>SUM(OSRRefP22_10x_0)</f>
        <v>3039.99</v>
      </c>
      <c r="Q71" s="1"/>
      <c r="R71" s="5">
        <f t="shared" ref="R71:R73" si="48">IF(P$12=0,0,P71/P$12)</f>
        <v>4.5008656792169165E-2</v>
      </c>
      <c r="S71" s="1"/>
      <c r="T71" s="1">
        <f>SUM(OSRRefT22_10x_0)</f>
        <v>0</v>
      </c>
      <c r="U71" s="1"/>
      <c r="V71" s="5">
        <f t="shared" ref="V71:V73" si="49">IF(T$12=0,0,T71/T$12)</f>
        <v>0</v>
      </c>
      <c r="W71" s="1"/>
      <c r="X71" s="1">
        <f t="shared" ref="X71:X73" si="50">+P71-T71</f>
        <v>3039.99</v>
      </c>
      <c r="Y71" s="1"/>
      <c r="Z71" s="5">
        <f t="shared" ref="Z71:Z73" si="51">IF(T71=0,0,X71/T71)</f>
        <v>0</v>
      </c>
    </row>
    <row r="72" spans="1:26" s="24" customFormat="1" hidden="1" outlineLevel="2" x14ac:dyDescent="0.25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7">
        <v>220.3</v>
      </c>
      <c r="E72" s="2"/>
      <c r="F72" s="6">
        <f t="shared" si="44"/>
        <v>8.6845011024152229E-3</v>
      </c>
      <c r="G72" s="2"/>
      <c r="H72" s="7"/>
      <c r="I72" s="2"/>
      <c r="J72" s="6">
        <f t="shared" si="45"/>
        <v>0</v>
      </c>
      <c r="K72" s="2"/>
      <c r="L72" s="7">
        <f t="shared" si="46"/>
        <v>220.3</v>
      </c>
      <c r="M72" s="2"/>
      <c r="N72" s="6">
        <f t="shared" si="47"/>
        <v>0</v>
      </c>
      <c r="O72" s="11"/>
      <c r="P72" s="7">
        <v>491.6</v>
      </c>
      <c r="Q72" s="2"/>
      <c r="R72" s="6">
        <f t="shared" si="48"/>
        <v>7.2783975207255172E-3</v>
      </c>
      <c r="S72" s="2"/>
      <c r="T72" s="7"/>
      <c r="U72" s="2"/>
      <c r="V72" s="6">
        <f t="shared" si="49"/>
        <v>0</v>
      </c>
      <c r="W72" s="2"/>
      <c r="X72" s="7">
        <f t="shared" si="50"/>
        <v>491.6</v>
      </c>
      <c r="Y72" s="2"/>
      <c r="Z72" s="6">
        <f t="shared" si="51"/>
        <v>0</v>
      </c>
    </row>
    <row r="73" spans="1:26" s="24" customFormat="1" hidden="1" outlineLevel="2" x14ac:dyDescent="0.25">
      <c r="A73" s="27"/>
      <c r="B73" s="11" t="str">
        <f>CONCATENATE("          ", "6285", " - ", "JANITORIAL SERVICES")</f>
        <v xml:space="preserve">          6285 - JANITORIAL SERVICES</v>
      </c>
      <c r="C73" s="11"/>
      <c r="D73" s="7">
        <v>205.75</v>
      </c>
      <c r="E73" s="2"/>
      <c r="F73" s="6">
        <f t="shared" si="44"/>
        <v>8.1109219329184388E-3</v>
      </c>
      <c r="G73" s="2"/>
      <c r="H73" s="7"/>
      <c r="I73" s="2"/>
      <c r="J73" s="6">
        <f t="shared" si="45"/>
        <v>0</v>
      </c>
      <c r="K73" s="2"/>
      <c r="L73" s="7">
        <f t="shared" si="46"/>
        <v>205.75</v>
      </c>
      <c r="M73" s="2"/>
      <c r="N73" s="6">
        <f t="shared" si="47"/>
        <v>0</v>
      </c>
      <c r="O73" s="11"/>
      <c r="P73" s="7">
        <v>2548.39</v>
      </c>
      <c r="Q73" s="2"/>
      <c r="R73" s="6">
        <f t="shared" si="48"/>
        <v>3.7730259271443654E-2</v>
      </c>
      <c r="S73" s="2"/>
      <c r="T73" s="7"/>
      <c r="U73" s="2"/>
      <c r="V73" s="6">
        <f t="shared" si="49"/>
        <v>0</v>
      </c>
      <c r="W73" s="2"/>
      <c r="X73" s="7">
        <f t="shared" si="50"/>
        <v>2548.39</v>
      </c>
      <c r="Y73" s="2"/>
      <c r="Z73" s="6">
        <f t="shared" si="51"/>
        <v>0</v>
      </c>
    </row>
    <row r="74" spans="1:26" s="28" customFormat="1" outlineLevel="1" collapsed="1" x14ac:dyDescent="0.25">
      <c r="A74" s="29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SUM(OSRRefD22_11x_0)</f>
        <v>1419.95</v>
      </c>
      <c r="E74" s="1"/>
      <c r="F74" s="5">
        <f t="shared" ref="F74:F78" si="52">IF(D$12=0,0,D74/D$12)</f>
        <v>5.5976202180546955E-2</v>
      </c>
      <c r="G74" s="1"/>
      <c r="H74" s="1">
        <f>SUM(OSRRefH22_11x_0)</f>
        <v>75</v>
      </c>
      <c r="I74" s="1"/>
      <c r="J74" s="5">
        <f t="shared" ref="J74:J78" si="53">IF(H$12=0,0,H74/H$12)</f>
        <v>1.040943789035392E-3</v>
      </c>
      <c r="K74" s="1"/>
      <c r="L74" s="1">
        <f t="shared" ref="L74:L78" si="54">+D74-H74</f>
        <v>1344.95</v>
      </c>
      <c r="M74" s="1"/>
      <c r="N74" s="5">
        <f t="shared" ref="N74:N78" si="55">IF(H74=0,0,L74/H74)</f>
        <v>17.932666666666666</v>
      </c>
      <c r="O74" s="14"/>
      <c r="P74" s="1">
        <f>SUM(OSRRefP22_11x_0)</f>
        <v>1668.3899999999999</v>
      </c>
      <c r="Q74" s="1"/>
      <c r="R74" s="5">
        <f t="shared" ref="R74:R78" si="56">IF(P$12=0,0,P74/P$12)</f>
        <v>2.4701394710340205E-2</v>
      </c>
      <c r="S74" s="1"/>
      <c r="T74" s="1">
        <f>SUM(OSRRefT22_11x_0)</f>
        <v>300</v>
      </c>
      <c r="U74" s="1"/>
      <c r="V74" s="5">
        <f t="shared" ref="V74:V78" si="57">IF(T$12=0,0,T74/T$12)</f>
        <v>1.4881173826991473E-3</v>
      </c>
      <c r="W74" s="1"/>
      <c r="X74" s="1">
        <f t="shared" ref="X74:X78" si="58">+P74-T74</f>
        <v>1368.3899999999999</v>
      </c>
      <c r="Y74" s="1"/>
      <c r="Z74" s="5">
        <f t="shared" ref="Z74:Z78" si="59">IF(T74=0,0,X74/T74)</f>
        <v>4.5612999999999992</v>
      </c>
    </row>
    <row r="75" spans="1:26" s="24" customFormat="1" hidden="1" outlineLevel="2" x14ac:dyDescent="0.25">
      <c r="A75" s="27"/>
      <c r="B75" s="11" t="str">
        <f>CONCATENATE("          ", "6234", " - ", "EXPENDABLE SUPPLIES &amp; EQUIPMEN")</f>
        <v xml:space="preserve">          6234 - EXPENDABLE SUPPLIES &amp; EQUIPMEN</v>
      </c>
      <c r="C75" s="11"/>
      <c r="D75" s="7">
        <v>1347.52</v>
      </c>
      <c r="E75" s="2"/>
      <c r="F75" s="6">
        <f t="shared" si="52"/>
        <v>5.3120921132667087E-2</v>
      </c>
      <c r="G75" s="2"/>
      <c r="H75" s="7"/>
      <c r="I75" s="2"/>
      <c r="J75" s="6">
        <f t="shared" si="53"/>
        <v>0</v>
      </c>
      <c r="K75" s="2"/>
      <c r="L75" s="7">
        <f t="shared" si="54"/>
        <v>1347.52</v>
      </c>
      <c r="M75" s="2"/>
      <c r="N75" s="6">
        <f t="shared" si="55"/>
        <v>0</v>
      </c>
      <c r="O75" s="11"/>
      <c r="P75" s="7">
        <v>1347.52</v>
      </c>
      <c r="Q75" s="2"/>
      <c r="R75" s="6">
        <f t="shared" si="56"/>
        <v>1.9950744969747861E-2</v>
      </c>
      <c r="S75" s="2"/>
      <c r="T75" s="7"/>
      <c r="U75" s="2"/>
      <c r="V75" s="6">
        <f t="shared" si="57"/>
        <v>0</v>
      </c>
      <c r="W75" s="2"/>
      <c r="X75" s="7">
        <f t="shared" si="58"/>
        <v>1347.52</v>
      </c>
      <c r="Y75" s="2"/>
      <c r="Z75" s="6">
        <f t="shared" si="59"/>
        <v>0</v>
      </c>
    </row>
    <row r="76" spans="1:26" s="24" customFormat="1" hidden="1" outlineLevel="2" x14ac:dyDescent="0.25">
      <c r="A76" s="27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52"/>
        <v>0</v>
      </c>
      <c r="G76" s="2"/>
      <c r="H76" s="7">
        <v>25</v>
      </c>
      <c r="I76" s="2"/>
      <c r="J76" s="6">
        <f t="shared" si="53"/>
        <v>3.4698126301179735E-4</v>
      </c>
      <c r="K76" s="2"/>
      <c r="L76" s="7">
        <f t="shared" si="54"/>
        <v>-25</v>
      </c>
      <c r="M76" s="2"/>
      <c r="N76" s="6">
        <f t="shared" si="55"/>
        <v>-1</v>
      </c>
      <c r="O76" s="11"/>
      <c r="P76" s="7"/>
      <c r="Q76" s="2"/>
      <c r="R76" s="6">
        <f t="shared" si="56"/>
        <v>0</v>
      </c>
      <c r="S76" s="2"/>
      <c r="T76" s="7">
        <v>100</v>
      </c>
      <c r="U76" s="2"/>
      <c r="V76" s="6">
        <f t="shared" si="57"/>
        <v>4.9603912756638246E-4</v>
      </c>
      <c r="W76" s="2"/>
      <c r="X76" s="7">
        <f t="shared" si="58"/>
        <v>-100</v>
      </c>
      <c r="Y76" s="2"/>
      <c r="Z76" s="6">
        <f t="shared" si="59"/>
        <v>-1</v>
      </c>
    </row>
    <row r="77" spans="1:26" s="24" customFormat="1" hidden="1" outlineLevel="2" x14ac:dyDescent="0.25">
      <c r="A77" s="27"/>
      <c r="B77" s="11" t="str">
        <f>CONCATENATE("          ", "6241", " - ", "OFFICE EXPENSE")</f>
        <v xml:space="preserve">          6241 - OFFICE EXPENSE</v>
      </c>
      <c r="C77" s="11"/>
      <c r="D77" s="7"/>
      <c r="E77" s="2"/>
      <c r="F77" s="6">
        <f t="shared" si="52"/>
        <v>0</v>
      </c>
      <c r="G77" s="2"/>
      <c r="H77" s="7">
        <v>25</v>
      </c>
      <c r="I77" s="2"/>
      <c r="J77" s="6">
        <f t="shared" si="53"/>
        <v>3.4698126301179735E-4</v>
      </c>
      <c r="K77" s="2"/>
      <c r="L77" s="7">
        <f t="shared" si="54"/>
        <v>-25</v>
      </c>
      <c r="M77" s="2"/>
      <c r="N77" s="6">
        <f t="shared" si="55"/>
        <v>-1</v>
      </c>
      <c r="O77" s="11"/>
      <c r="P77" s="7"/>
      <c r="Q77" s="2"/>
      <c r="R77" s="6">
        <f t="shared" si="56"/>
        <v>0</v>
      </c>
      <c r="S77" s="2"/>
      <c r="T77" s="7">
        <v>100</v>
      </c>
      <c r="U77" s="2"/>
      <c r="V77" s="6">
        <f t="shared" si="57"/>
        <v>4.9603912756638246E-4</v>
      </c>
      <c r="W77" s="2"/>
      <c r="X77" s="7">
        <f t="shared" si="58"/>
        <v>-100</v>
      </c>
      <c r="Y77" s="2"/>
      <c r="Z77" s="6">
        <f t="shared" si="59"/>
        <v>-1</v>
      </c>
    </row>
    <row r="78" spans="1:26" s="24" customFormat="1" hidden="1" outlineLevel="2" x14ac:dyDescent="0.25">
      <c r="A78" s="27"/>
      <c r="B78" s="11" t="str">
        <f>CONCATENATE("          ", "6247", " - ", "STORE SUPPLIES")</f>
        <v xml:space="preserve">          6247 - STORE SUPPLIES</v>
      </c>
      <c r="C78" s="11"/>
      <c r="D78" s="7">
        <v>72.430000000000007</v>
      </c>
      <c r="E78" s="2"/>
      <c r="F78" s="6">
        <f t="shared" si="52"/>
        <v>2.8552810478798666E-3</v>
      </c>
      <c r="G78" s="2"/>
      <c r="H78" s="7">
        <v>25</v>
      </c>
      <c r="I78" s="2"/>
      <c r="J78" s="6">
        <f t="shared" si="53"/>
        <v>3.4698126301179735E-4</v>
      </c>
      <c r="K78" s="2"/>
      <c r="L78" s="7">
        <f t="shared" si="54"/>
        <v>47.430000000000007</v>
      </c>
      <c r="M78" s="2"/>
      <c r="N78" s="6">
        <f t="shared" si="55"/>
        <v>1.8972000000000002</v>
      </c>
      <c r="O78" s="11"/>
      <c r="P78" s="7">
        <v>320.87</v>
      </c>
      <c r="Q78" s="2"/>
      <c r="R78" s="6">
        <f t="shared" si="56"/>
        <v>4.7506497405923444E-3</v>
      </c>
      <c r="S78" s="2"/>
      <c r="T78" s="7">
        <v>100</v>
      </c>
      <c r="U78" s="2"/>
      <c r="V78" s="6">
        <f t="shared" si="57"/>
        <v>4.9603912756638246E-4</v>
      </c>
      <c r="W78" s="2"/>
      <c r="X78" s="7">
        <f t="shared" si="58"/>
        <v>220.87</v>
      </c>
      <c r="Y78" s="2"/>
      <c r="Z78" s="6">
        <f t="shared" si="59"/>
        <v>2.2086999999999999</v>
      </c>
    </row>
    <row r="79" spans="1:26" s="28" customFormat="1" outlineLevel="1" collapsed="1" x14ac:dyDescent="0.25">
      <c r="A79" s="29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SUM(OSRRefD22_12x_0)</f>
        <v>53</v>
      </c>
      <c r="E79" s="1"/>
      <c r="F79" s="5">
        <f t="shared" ref="F79:F80" si="60">IF(D$12=0,0,D79/D$12)</f>
        <v>2.0893261844212745E-3</v>
      </c>
      <c r="G79" s="1"/>
      <c r="H79" s="1">
        <f>SUM(OSRRefH22_12x_0)</f>
        <v>60</v>
      </c>
      <c r="I79" s="1"/>
      <c r="J79" s="5">
        <f t="shared" ref="J79:J80" si="61">IF(H$12=0,0,H79/H$12)</f>
        <v>8.3275503122831368E-4</v>
      </c>
      <c r="K79" s="1"/>
      <c r="L79" s="1">
        <f t="shared" ref="L79:L80" si="62">+D79-H79</f>
        <v>-7</v>
      </c>
      <c r="M79" s="1"/>
      <c r="N79" s="5">
        <f t="shared" ref="N79:N80" si="63">IF(H79=0,0,L79/H79)</f>
        <v>-0.11666666666666667</v>
      </c>
      <c r="O79" s="14"/>
      <c r="P79" s="1">
        <f>SUM(OSRRefP22_12x_0)</f>
        <v>172</v>
      </c>
      <c r="Q79" s="1"/>
      <c r="R79" s="5">
        <f t="shared" ref="R79:R80" si="64">IF(P$12=0,0,P79/P$12)</f>
        <v>2.5465508005793102E-3</v>
      </c>
      <c r="S79" s="1"/>
      <c r="T79" s="1">
        <f>SUM(OSRRefT22_12x_0)</f>
        <v>240</v>
      </c>
      <c r="U79" s="1"/>
      <c r="V79" s="5">
        <f t="shared" ref="V79:V80" si="65">IF(T$12=0,0,T79/T$12)</f>
        <v>1.1904939061593179E-3</v>
      </c>
      <c r="W79" s="1"/>
      <c r="X79" s="1">
        <f t="shared" ref="X79:X80" si="66">+P79-T79</f>
        <v>-68</v>
      </c>
      <c r="Y79" s="1"/>
      <c r="Z79" s="5">
        <f t="shared" ref="Z79:Z80" si="67">IF(T79=0,0,X79/T79)</f>
        <v>-0.28333333333333333</v>
      </c>
    </row>
    <row r="80" spans="1:26" s="24" customFormat="1" hidden="1" outlineLevel="2" x14ac:dyDescent="0.25">
      <c r="A80" s="27"/>
      <c r="B80" s="11" t="str">
        <f>CONCATENATE("          ", "6309", " - ", "TELEPHONE")</f>
        <v xml:space="preserve">          6309 - TELEPHONE</v>
      </c>
      <c r="C80" s="11"/>
      <c r="D80" s="7">
        <v>53</v>
      </c>
      <c r="E80" s="2"/>
      <c r="F80" s="6">
        <f t="shared" si="60"/>
        <v>2.0893261844212745E-3</v>
      </c>
      <c r="G80" s="2"/>
      <c r="H80" s="7">
        <v>60</v>
      </c>
      <c r="I80" s="2"/>
      <c r="J80" s="6">
        <f t="shared" si="61"/>
        <v>8.3275503122831368E-4</v>
      </c>
      <c r="K80" s="2"/>
      <c r="L80" s="7">
        <f t="shared" si="62"/>
        <v>-7</v>
      </c>
      <c r="M80" s="2"/>
      <c r="N80" s="6">
        <f t="shared" si="63"/>
        <v>-0.11666666666666667</v>
      </c>
      <c r="O80" s="11"/>
      <c r="P80" s="7">
        <v>172</v>
      </c>
      <c r="Q80" s="2"/>
      <c r="R80" s="6">
        <f t="shared" si="64"/>
        <v>2.5465508005793102E-3</v>
      </c>
      <c r="S80" s="2"/>
      <c r="T80" s="7">
        <v>240</v>
      </c>
      <c r="U80" s="2"/>
      <c r="V80" s="6">
        <f t="shared" si="65"/>
        <v>1.1904939061593179E-3</v>
      </c>
      <c r="W80" s="2"/>
      <c r="X80" s="7">
        <f t="shared" si="66"/>
        <v>-68</v>
      </c>
      <c r="Y80" s="2"/>
      <c r="Z80" s="6">
        <f t="shared" si="67"/>
        <v>-0.28333333333333333</v>
      </c>
    </row>
    <row r="81" spans="1:26" s="60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5" t="s">
        <v>293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6" t="s">
        <v>277</v>
      </c>
      <c r="C84" s="26"/>
      <c r="D84" s="21">
        <f>+D30-D32+D82</f>
        <v>2907.1499999999978</v>
      </c>
      <c r="E84" s="13"/>
      <c r="F84" s="20">
        <f>IF(D$12=0,0,D84/D$12)</f>
        <v>0.11460348334038309</v>
      </c>
      <c r="G84" s="13"/>
      <c r="H84" s="21">
        <f>+H30-H32+H82</f>
        <v>19929.980499999998</v>
      </c>
      <c r="I84" s="13"/>
      <c r="J84" s="20">
        <f>IF(H$12=0,0,H84/H$12)</f>
        <v>0.27661319222761965</v>
      </c>
      <c r="K84" s="15"/>
      <c r="L84" s="21">
        <f>+D84-H84</f>
        <v>-17022.8305</v>
      </c>
      <c r="M84" s="15"/>
      <c r="N84" s="20">
        <f>IF(H84=0,0,L84/H84)</f>
        <v>-0.85413181914553316</v>
      </c>
      <c r="O84" s="25"/>
      <c r="P84" s="21">
        <f>+P30-P32+P82</f>
        <v>15023.990000000011</v>
      </c>
      <c r="Q84" s="13"/>
      <c r="R84" s="20">
        <f>IF(P$12=0,0,P84/P$12)</f>
        <v>0.22243810326974173</v>
      </c>
      <c r="S84" s="13"/>
      <c r="T84" s="21">
        <f>+T30-T32+T82</f>
        <v>40299.692450000002</v>
      </c>
      <c r="U84" s="13"/>
      <c r="V84" s="20">
        <f>IF(T$12=0,0,T84/T$12)</f>
        <v>0.19990224284091529</v>
      </c>
      <c r="W84" s="15"/>
      <c r="X84" s="21">
        <f>+P84-T84</f>
        <v>-25275.70244999999</v>
      </c>
      <c r="Y84" s="15"/>
      <c r="Z84" s="20">
        <f>IF(T84=0,0,X84/T84)</f>
        <v>-0.62719343283722728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2"/>
      <c r="B86" s="10" t="s">
        <v>128</v>
      </c>
      <c r="C86" s="10"/>
      <c r="D86" s="4">
        <v>2587.06</v>
      </c>
      <c r="E86" s="4"/>
      <c r="F86" s="12">
        <f>IF(D$12=0,0,D86/D$12)</f>
        <v>0.10198513582394156</v>
      </c>
      <c r="G86" s="4"/>
      <c r="H86" s="4">
        <v>9115</v>
      </c>
      <c r="I86" s="4"/>
      <c r="J86" s="12">
        <f>IF(H$12=0,0,H86/H$12)</f>
        <v>0.12650936849410133</v>
      </c>
      <c r="K86" s="4"/>
      <c r="L86" s="4">
        <f>+D86-H86</f>
        <v>-6527.9400000000005</v>
      </c>
      <c r="M86" s="4"/>
      <c r="N86" s="12">
        <f>IF(H86=0,0,L86/H86)</f>
        <v>-0.71617553483269347</v>
      </c>
      <c r="O86" s="10"/>
      <c r="P86" s="4">
        <v>7807.34</v>
      </c>
      <c r="Q86" s="4"/>
      <c r="R86" s="12">
        <f>IF(P$12=0,0,P86/P$12)</f>
        <v>0.11559179027555158</v>
      </c>
      <c r="S86" s="4"/>
      <c r="T86" s="4">
        <v>23182</v>
      </c>
      <c r="U86" s="4"/>
      <c r="V86" s="12">
        <f>IF(T$12=0,0,T86/T$12)</f>
        <v>0.11499179055243877</v>
      </c>
      <c r="W86" s="4"/>
      <c r="X86" s="4">
        <f>+P86-T86</f>
        <v>-15374.66</v>
      </c>
      <c r="Y86" s="4"/>
      <c r="Z86" s="12">
        <f>IF(T86=0,0,X86/T86)</f>
        <v>-0.66321542576136661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6" t="s">
        <v>126</v>
      </c>
      <c r="C88" s="26"/>
      <c r="D88" s="31">
        <f>+D84-D86</f>
        <v>320.08999999999787</v>
      </c>
      <c r="E88" s="13"/>
      <c r="F88" s="33">
        <f>IF(D$12=0,0,D88/D$12)</f>
        <v>1.2618347516441534E-2</v>
      </c>
      <c r="G88" s="13"/>
      <c r="H88" s="31">
        <f>+H84-H86</f>
        <v>10814.980499999998</v>
      </c>
      <c r="I88" s="13"/>
      <c r="J88" s="33">
        <f>IF(H$12=0,0,H88/H$12)</f>
        <v>0.15010382373351835</v>
      </c>
      <c r="K88" s="15"/>
      <c r="L88" s="31">
        <f>D88-H88</f>
        <v>-10494.8905</v>
      </c>
      <c r="M88" s="15"/>
      <c r="N88" s="33">
        <f>IF(H88=0,0,L88/H88)</f>
        <v>-0.97040309041703787</v>
      </c>
      <c r="O88" s="25"/>
      <c r="P88" s="31">
        <f>+P84-P86</f>
        <v>7216.6500000000106</v>
      </c>
      <c r="Q88" s="13"/>
      <c r="R88" s="33">
        <f>IF(P$12=0,0,P88/P$12)</f>
        <v>0.10684631299419016</v>
      </c>
      <c r="S88" s="13"/>
      <c r="T88" s="31">
        <f>+T84-T86</f>
        <v>17117.692450000002</v>
      </c>
      <c r="U88" s="13"/>
      <c r="V88" s="33">
        <f>IF(T$12=0,0,T88/T$12)</f>
        <v>8.4910452288476532E-2</v>
      </c>
      <c r="W88" s="15"/>
      <c r="X88" s="31">
        <f>P88-T88</f>
        <v>-9901.0424499999917</v>
      </c>
      <c r="Y88" s="15"/>
      <c r="Z88" s="33">
        <f>IF(T88=0,0,X88/T88)</f>
        <v>-0.57840988082479483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6" t="s">
        <v>294</v>
      </c>
      <c r="C91" s="26"/>
      <c r="D91" s="35">
        <f>SUM(D88:D90)</f>
        <v>320.08999999999787</v>
      </c>
      <c r="E91" s="13"/>
      <c r="F91" s="32">
        <f>IF(D$12=0,0,D91/D$12)</f>
        <v>1.2618347516441534E-2</v>
      </c>
      <c r="G91" s="13"/>
      <c r="H91" s="35">
        <f>SUM(H88:H90)</f>
        <v>10814.980499999998</v>
      </c>
      <c r="I91" s="13"/>
      <c r="J91" s="32">
        <f>IF(H$12=0,0,H91/H$12)</f>
        <v>0.15010382373351835</v>
      </c>
      <c r="K91" s="15"/>
      <c r="L91" s="35">
        <f>+D91-H91</f>
        <v>-10494.8905</v>
      </c>
      <c r="M91" s="15"/>
      <c r="N91" s="32">
        <f>IF(H91=0,0,L91/H91)</f>
        <v>-0.97040309041703787</v>
      </c>
      <c r="O91" s="25"/>
      <c r="P91" s="35">
        <f>SUM(P88:P90)</f>
        <v>7216.6500000000106</v>
      </c>
      <c r="Q91" s="13"/>
      <c r="R91" s="32">
        <f>IF(P$12=0,0,P91/P$12)</f>
        <v>0.10684631299419016</v>
      </c>
      <c r="S91" s="13"/>
      <c r="T91" s="35">
        <f>SUM(T88:T90)</f>
        <v>17117.692450000002</v>
      </c>
      <c r="U91" s="13"/>
      <c r="V91" s="32">
        <f>IF(T$12=0,0,T91/T$12)</f>
        <v>8.4910452288476532E-2</v>
      </c>
      <c r="W91" s="15"/>
      <c r="X91" s="35">
        <f>+P91-T91</f>
        <v>-9901.0424499999917</v>
      </c>
      <c r="Y91" s="15"/>
      <c r="Z91" s="32">
        <f>IF(T91=0,0,X91/T91)</f>
        <v>-0.57840988082479483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9">
        <v>44517.962875613426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62" t="s">
        <v>56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7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</sheetPr>
  <dimension ref="A2:Z9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21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37617.599999999991</v>
      </c>
      <c r="E12" s="4"/>
      <c r="F12" s="12"/>
      <c r="G12" s="4"/>
      <c r="H12" s="4">
        <f>SUM(OSRRefH13x_0)</f>
        <v>35929</v>
      </c>
      <c r="I12" s="4"/>
      <c r="J12" s="12"/>
      <c r="K12" s="4"/>
      <c r="L12" s="4">
        <f t="shared" ref="L12:L17" si="0">+D12-H12</f>
        <v>1688.5999999999913</v>
      </c>
      <c r="M12" s="4"/>
      <c r="N12" s="12">
        <f t="shared" ref="N12:N17" si="1">IF(H12=0,0,L12/H12)</f>
        <v>4.6998246541790509E-2</v>
      </c>
      <c r="O12" s="10"/>
      <c r="P12" s="4">
        <f>SUM(OSRRefP13x_0)</f>
        <v>1343759.7000000002</v>
      </c>
      <c r="Q12" s="4"/>
      <c r="R12" s="12"/>
      <c r="S12" s="4"/>
      <c r="T12" s="4">
        <f>SUM(OSRRefT13x_0)</f>
        <v>2788398</v>
      </c>
      <c r="U12" s="4"/>
      <c r="V12" s="12"/>
      <c r="W12" s="4"/>
      <c r="X12" s="4">
        <f t="shared" ref="X12:X17" si="2">+P12-T12</f>
        <v>-1444638.2999999998</v>
      </c>
      <c r="Y12" s="4"/>
      <c r="Z12" s="12">
        <f t="shared" ref="Z12:Z17" si="3">IF(T12=0,0,X12/T12)</f>
        <v>-0.51808898873116382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--26031.35</f>
        <v>26031.35</v>
      </c>
      <c r="E13" s="2"/>
      <c r="F13" s="19"/>
      <c r="G13" s="2"/>
      <c r="H13" s="2">
        <v>35929</v>
      </c>
      <c r="I13" s="2"/>
      <c r="J13" s="19"/>
      <c r="K13" s="2"/>
      <c r="L13" s="2">
        <f t="shared" si="0"/>
        <v>-9897.6500000000015</v>
      </c>
      <c r="M13" s="2"/>
      <c r="N13" s="19">
        <f t="shared" si="1"/>
        <v>-0.27547802610704447</v>
      </c>
      <c r="O13" s="11"/>
      <c r="P13" s="2">
        <f>--981047.5</f>
        <v>981047.5</v>
      </c>
      <c r="Q13" s="2"/>
      <c r="R13" s="19"/>
      <c r="S13" s="2"/>
      <c r="T13" s="2">
        <v>2788398</v>
      </c>
      <c r="U13" s="2"/>
      <c r="V13" s="19"/>
      <c r="W13" s="2"/>
      <c r="X13" s="2">
        <f t="shared" si="2"/>
        <v>-1807350.5</v>
      </c>
      <c r="Y13" s="2"/>
      <c r="Z13" s="19">
        <f t="shared" si="3"/>
        <v>-0.64816805204995842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--21904.93</f>
        <v>21904.93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21904.93</v>
      </c>
      <c r="M14" s="2"/>
      <c r="N14" s="19">
        <f t="shared" si="1"/>
        <v>0</v>
      </c>
      <c r="O14" s="11"/>
      <c r="P14" s="2">
        <f>--416483.22</f>
        <v>416483.22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416483.22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-4428.05</f>
        <v>-4428.05</v>
      </c>
      <c r="E15" s="2"/>
      <c r="F15" s="19"/>
      <c r="G15" s="2"/>
      <c r="H15" s="2"/>
      <c r="I15" s="2"/>
      <c r="J15" s="19"/>
      <c r="K15" s="2"/>
      <c r="L15" s="2">
        <f t="shared" si="0"/>
        <v>-4428.05</v>
      </c>
      <c r="M15" s="2"/>
      <c r="N15" s="19">
        <f t="shared" si="1"/>
        <v>0</v>
      </c>
      <c r="O15" s="11"/>
      <c r="P15" s="2">
        <f>-28333.13</f>
        <v>-28333.13</v>
      </c>
      <c r="Q15" s="2"/>
      <c r="R15" s="19"/>
      <c r="S15" s="2"/>
      <c r="T15" s="2"/>
      <c r="U15" s="2"/>
      <c r="V15" s="19"/>
      <c r="W15" s="2"/>
      <c r="X15" s="2">
        <f t="shared" si="2"/>
        <v>-28333.13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"4300", " - ", "NON-TAX RETURNS")</f>
        <v xml:space="preserve">          4300 - NON-TAX RETURNS</v>
      </c>
      <c r="C16" s="11"/>
      <c r="D16" s="2">
        <f>-5357.9</f>
        <v>-5357.9</v>
      </c>
      <c r="E16" s="2"/>
      <c r="F16" s="19"/>
      <c r="G16" s="2"/>
      <c r="H16" s="2"/>
      <c r="I16" s="2"/>
      <c r="J16" s="19"/>
      <c r="K16" s="2"/>
      <c r="L16" s="2">
        <f t="shared" si="0"/>
        <v>-5357.9</v>
      </c>
      <c r="M16" s="2"/>
      <c r="N16" s="19">
        <f t="shared" si="1"/>
        <v>0</v>
      </c>
      <c r="O16" s="11"/>
      <c r="P16" s="2">
        <f>-24905.16</f>
        <v>-24905.16</v>
      </c>
      <c r="Q16" s="2"/>
      <c r="R16" s="19"/>
      <c r="S16" s="2"/>
      <c r="T16" s="2"/>
      <c r="U16" s="2"/>
      <c r="V16" s="19"/>
      <c r="W16" s="2"/>
      <c r="X16" s="2">
        <f t="shared" si="2"/>
        <v>-24905.16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"4500", " - ", "SALES DISCOUNT")</f>
        <v xml:space="preserve">          4500 - SALES DISCOUNT</v>
      </c>
      <c r="C17" s="11"/>
      <c r="D17" s="2">
        <f>-532.73</f>
        <v>-532.73</v>
      </c>
      <c r="E17" s="2"/>
      <c r="F17" s="19"/>
      <c r="G17" s="2"/>
      <c r="H17" s="2"/>
      <c r="I17" s="2"/>
      <c r="J17" s="19"/>
      <c r="K17" s="2"/>
      <c r="L17" s="2">
        <f t="shared" si="0"/>
        <v>-532.73</v>
      </c>
      <c r="M17" s="2"/>
      <c r="N17" s="19">
        <f t="shared" si="1"/>
        <v>0</v>
      </c>
      <c r="O17" s="11"/>
      <c r="P17" s="2">
        <f>-532.73</f>
        <v>-532.73</v>
      </c>
      <c r="Q17" s="2"/>
      <c r="R17" s="19"/>
      <c r="S17" s="2"/>
      <c r="T17" s="2"/>
      <c r="U17" s="2"/>
      <c r="V17" s="19"/>
      <c r="W17" s="2"/>
      <c r="X17" s="2">
        <f t="shared" si="2"/>
        <v>-532.73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5" t="s">
        <v>257</v>
      </c>
      <c r="C19" s="10"/>
      <c r="D19" s="4">
        <f>SUM(OSRRefD16x_0)</f>
        <v>24321.970000000027</v>
      </c>
      <c r="E19" s="4"/>
      <c r="F19" s="12">
        <f t="shared" ref="F19:F29" si="4">IF(D$12=0,0,D19/D$12)</f>
        <v>0.6465582599634222</v>
      </c>
      <c r="G19" s="4"/>
      <c r="H19" s="4">
        <f>SUM(OSRRefH16x_0)</f>
        <v>25970</v>
      </c>
      <c r="I19" s="4"/>
      <c r="J19" s="12">
        <f t="shared" ref="J19:J29" si="5">IF(H$12=0,0,H19/H$12)</f>
        <v>0.72281443958918978</v>
      </c>
      <c r="K19" s="4"/>
      <c r="L19" s="4">
        <f t="shared" ref="L19:L29" si="6">+D19-H19</f>
        <v>-1648.0299999999734</v>
      </c>
      <c r="M19" s="4"/>
      <c r="N19" s="12">
        <f t="shared" ref="N19:N29" si="7">IF(H19=0,0,L19/H19)</f>
        <v>-6.3458991143626242E-2</v>
      </c>
      <c r="O19" s="10"/>
      <c r="P19" s="4">
        <f>SUM(OSRRefP16x_0)</f>
        <v>1096835.9599999997</v>
      </c>
      <c r="Q19" s="4"/>
      <c r="R19" s="12">
        <f t="shared" ref="R19:R29" si="8">IF(P$12=0,0,P19/P$12)</f>
        <v>0.8162441246005514</v>
      </c>
      <c r="S19" s="4"/>
      <c r="T19" s="4">
        <f>SUM(OSRRefT16x_0)</f>
        <v>2016908</v>
      </c>
      <c r="U19" s="4"/>
      <c r="V19" s="12">
        <f t="shared" ref="V19:V29" si="9">IF(T$12=0,0,T19/T$12)</f>
        <v>0.72332141968255603</v>
      </c>
      <c r="W19" s="4"/>
      <c r="X19" s="4">
        <f t="shared" ref="X19:X29" si="10">+P19-T19</f>
        <v>-920072.04000000027</v>
      </c>
      <c r="Y19" s="4"/>
      <c r="Z19" s="12">
        <f t="shared" ref="Z19:Z29" si="11">IF(T19=0,0,X19/T19)</f>
        <v>-0.45617947868717873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276289.31</v>
      </c>
      <c r="E20" s="2"/>
      <c r="F20" s="19">
        <f t="shared" si="4"/>
        <v>7.3446820105482553</v>
      </c>
      <c r="G20" s="2"/>
      <c r="H20" s="2">
        <v>25970</v>
      </c>
      <c r="I20" s="2"/>
      <c r="J20" s="19">
        <f t="shared" si="5"/>
        <v>0.72281443958918978</v>
      </c>
      <c r="K20" s="2"/>
      <c r="L20" s="2">
        <f t="shared" si="6"/>
        <v>250319.31</v>
      </c>
      <c r="M20" s="2"/>
      <c r="N20" s="19">
        <f t="shared" si="7"/>
        <v>9.6387874470542929</v>
      </c>
      <c r="O20" s="11"/>
      <c r="P20" s="2">
        <v>1543809.9</v>
      </c>
      <c r="Q20" s="2"/>
      <c r="R20" s="19">
        <f t="shared" si="8"/>
        <v>1.1488734927829729</v>
      </c>
      <c r="S20" s="2"/>
      <c r="T20" s="2">
        <v>2016908</v>
      </c>
      <c r="U20" s="2"/>
      <c r="V20" s="19">
        <f t="shared" si="9"/>
        <v>0.72332141968255603</v>
      </c>
      <c r="W20" s="2"/>
      <c r="X20" s="2">
        <f t="shared" si="10"/>
        <v>-473098.10000000009</v>
      </c>
      <c r="Y20" s="2"/>
      <c r="Z20" s="19">
        <f t="shared" si="11"/>
        <v>-0.23456602879258751</v>
      </c>
    </row>
    <row r="21" spans="1:26" s="24" customFormat="1" hidden="1" outlineLevel="1" x14ac:dyDescent="0.25">
      <c r="A21" s="44"/>
      <c r="B21" s="11" t="str">
        <f>CONCATENATE("          ", "5001", " - ", "PURCHASES @ COST-NEW TEXT")</f>
        <v xml:space="preserve">          5001 - PURCHASES @ COST-NEW TEXT</v>
      </c>
      <c r="C21" s="11"/>
      <c r="D21" s="2">
        <v>0</v>
      </c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"5002", " - ", "PURCHASES @ COST-USED TEXT")</f>
        <v xml:space="preserve">          5002 - PURCHASES @ COST-USED TEXT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"5004", " - ", "PURCHASES @ COST-DIGITAL TEXT")</f>
        <v xml:space="preserve">          5004 - PURCHASES @ COST-DIGITAL TEXT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"5200", " - ", "PURCHASES OFFSET")</f>
        <v xml:space="preserve">          5200 - PURCHASES OFFSET</v>
      </c>
      <c r="C24" s="11"/>
      <c r="D24" s="2">
        <v>-290158.21999999997</v>
      </c>
      <c r="E24" s="2"/>
      <c r="F24" s="19">
        <f t="shared" si="4"/>
        <v>-7.7133634256305568</v>
      </c>
      <c r="G24" s="2"/>
      <c r="H24" s="2"/>
      <c r="I24" s="2"/>
      <c r="J24" s="19">
        <f t="shared" si="5"/>
        <v>0</v>
      </c>
      <c r="K24" s="2"/>
      <c r="L24" s="2">
        <f t="shared" si="6"/>
        <v>-290158.21999999997</v>
      </c>
      <c r="M24" s="2"/>
      <c r="N24" s="19">
        <f t="shared" si="7"/>
        <v>0</v>
      </c>
      <c r="O24" s="11"/>
      <c r="P24" s="2">
        <v>-1326529.8600000001</v>
      </c>
      <c r="Q24" s="2"/>
      <c r="R24" s="19">
        <f t="shared" si="8"/>
        <v>-0.98717788604614343</v>
      </c>
      <c r="S24" s="2"/>
      <c r="T24" s="2"/>
      <c r="U24" s="2"/>
      <c r="V24" s="19">
        <f t="shared" si="9"/>
        <v>0</v>
      </c>
      <c r="W24" s="2"/>
      <c r="X24" s="2">
        <f t="shared" si="10"/>
        <v>-1326529.8600000001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"5300", " - ", "COG$ OFFSET")</f>
        <v xml:space="preserve">          5300 - COG$ OFFSET</v>
      </c>
      <c r="C25" s="11"/>
      <c r="D25" s="2">
        <v>21877.63</v>
      </c>
      <c r="E25" s="2"/>
      <c r="F25" s="19">
        <f t="shared" si="4"/>
        <v>0.58157963293777393</v>
      </c>
      <c r="G25" s="2"/>
      <c r="H25" s="2"/>
      <c r="I25" s="2"/>
      <c r="J25" s="19">
        <f t="shared" si="5"/>
        <v>0</v>
      </c>
      <c r="K25" s="2"/>
      <c r="L25" s="2">
        <f t="shared" si="6"/>
        <v>21877.63</v>
      </c>
      <c r="M25" s="2"/>
      <c r="N25" s="19">
        <f t="shared" si="7"/>
        <v>0</v>
      </c>
      <c r="O25" s="11"/>
      <c r="P25" s="2">
        <v>843417.87</v>
      </c>
      <c r="Q25" s="2"/>
      <c r="R25" s="19">
        <f t="shared" si="8"/>
        <v>0.62765527943723853</v>
      </c>
      <c r="S25" s="2"/>
      <c r="T25" s="2"/>
      <c r="U25" s="2"/>
      <c r="V25" s="19">
        <f t="shared" si="9"/>
        <v>0</v>
      </c>
      <c r="W25" s="2"/>
      <c r="X25" s="2">
        <f t="shared" si="10"/>
        <v>843417.87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"5500", " - ", "FREIGHT-IN")</f>
        <v xml:space="preserve">          5500 - FREIGHT-IN</v>
      </c>
      <c r="C26" s="11"/>
      <c r="D26" s="2">
        <v>16313.25</v>
      </c>
      <c r="E26" s="2"/>
      <c r="F26" s="19">
        <f t="shared" si="4"/>
        <v>0.43366004210794956</v>
      </c>
      <c r="G26" s="2"/>
      <c r="H26" s="2"/>
      <c r="I26" s="2"/>
      <c r="J26" s="19">
        <f t="shared" si="5"/>
        <v>0</v>
      </c>
      <c r="K26" s="2"/>
      <c r="L26" s="2">
        <f t="shared" si="6"/>
        <v>16313.25</v>
      </c>
      <c r="M26" s="2"/>
      <c r="N26" s="19">
        <f t="shared" si="7"/>
        <v>0</v>
      </c>
      <c r="O26" s="11"/>
      <c r="P26" s="2">
        <v>36138.050000000003</v>
      </c>
      <c r="Q26" s="2"/>
      <c r="R26" s="19">
        <f t="shared" si="8"/>
        <v>2.6893238426483543E-2</v>
      </c>
      <c r="S26" s="2"/>
      <c r="T26" s="2"/>
      <c r="U26" s="2"/>
      <c r="V26" s="19">
        <f t="shared" si="9"/>
        <v>0</v>
      </c>
      <c r="W26" s="2"/>
      <c r="X26" s="2">
        <f t="shared" si="10"/>
        <v>36138.050000000003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"5501", " - ", "FREIGHT-IN-NEW TEXT")</f>
        <v xml:space="preserve">          5501 - FREIGHT-IN-NEW TEXT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"5502", " - ", "FREIGHT-IN-USED TEXT")</f>
        <v xml:space="preserve">          5502 - FREIGHT-IN-USED TEXT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"5518", " - ", "FREIGHT-IN-STUDY GUIDES")</f>
        <v xml:space="preserve">          5518 - FREIGHT-IN-STUDY GUIDES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6" t="s">
        <v>108</v>
      </c>
      <c r="C31" s="26"/>
      <c r="D31" s="21">
        <f>D12-D19</f>
        <v>13295.629999999965</v>
      </c>
      <c r="E31" s="13"/>
      <c r="F31" s="20">
        <f>IF(D$12=0,0,D31/D$12)</f>
        <v>0.35344174003657775</v>
      </c>
      <c r="G31" s="13"/>
      <c r="H31" s="21">
        <f>H12-H19</f>
        <v>9959</v>
      </c>
      <c r="I31" s="13"/>
      <c r="J31" s="20">
        <f>IF(H$12=0,0,H31/H$12)</f>
        <v>0.27718556041081022</v>
      </c>
      <c r="K31" s="15"/>
      <c r="L31" s="21">
        <f>+D31-H31</f>
        <v>3336.6299999999646</v>
      </c>
      <c r="M31" s="15"/>
      <c r="N31" s="20">
        <f>IF(H31=0,0,L31/H31)</f>
        <v>0.33503665026608742</v>
      </c>
      <c r="O31" s="25"/>
      <c r="P31" s="21">
        <f>P12-P19</f>
        <v>246923.74000000046</v>
      </c>
      <c r="Q31" s="13"/>
      <c r="R31" s="20">
        <f>IF(P$12=0,0,P31/P$12)</f>
        <v>0.1837558753994486</v>
      </c>
      <c r="S31" s="13"/>
      <c r="T31" s="21">
        <f>T12-T19</f>
        <v>771490</v>
      </c>
      <c r="U31" s="13"/>
      <c r="V31" s="20">
        <f>IF(T$12=0,0,T31/T$12)</f>
        <v>0.27667858031744391</v>
      </c>
      <c r="W31" s="15"/>
      <c r="X31" s="21">
        <f>+P31-T31</f>
        <v>-524566.25999999954</v>
      </c>
      <c r="Y31" s="15"/>
      <c r="Z31" s="20">
        <f>IF(T31=0,0,X31/T31)</f>
        <v>-0.67993915669678096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5" t="s">
        <v>295</v>
      </c>
      <c r="C33" s="10"/>
      <c r="D33" s="22">
        <f>SUM(OSRRefD22x_0)</f>
        <v>47453.490000000005</v>
      </c>
      <c r="E33" s="22"/>
      <c r="F33" s="34">
        <f t="shared" ref="F33:F44" si="12">IF(D$12=0,0,D33/D$12)</f>
        <v>1.2614704287354859</v>
      </c>
      <c r="G33" s="22"/>
      <c r="H33" s="22">
        <f>SUM(OSRRefH22x_0)</f>
        <v>53560.137548737199</v>
      </c>
      <c r="I33" s="22"/>
      <c r="J33" s="34">
        <f t="shared" ref="J33:J44" si="13">IF(H$12=0,0,H33/H$12)</f>
        <v>1.4907216329076012</v>
      </c>
      <c r="K33" s="4"/>
      <c r="L33" s="22">
        <f t="shared" ref="L33:L44" si="14">+D33-H33</f>
        <v>-6106.6475487371936</v>
      </c>
      <c r="M33" s="4"/>
      <c r="N33" s="34">
        <f t="shared" ref="N33:N44" si="15">IF(H33=0,0,L33/H33)</f>
        <v>-0.11401478465548062</v>
      </c>
      <c r="O33" s="10"/>
      <c r="P33" s="22">
        <f>SUM(OSRRefP22x_0)</f>
        <v>192347.34</v>
      </c>
      <c r="Q33" s="22"/>
      <c r="R33" s="34">
        <f t="shared" ref="R33:R44" si="16">IF(P$12=0,0,P33/P$12)</f>
        <v>0.14314117323208903</v>
      </c>
      <c r="S33" s="22"/>
      <c r="T33" s="22">
        <f>SUM(OSRRefT22x_0)</f>
        <v>224393.64039545384</v>
      </c>
      <c r="U33" s="22"/>
      <c r="V33" s="34">
        <f t="shared" ref="V33:V44" si="17">IF(T$12=0,0,T33/T$12)</f>
        <v>8.0474035770881289E-2</v>
      </c>
      <c r="W33" s="4"/>
      <c r="X33" s="22">
        <f t="shared" ref="X33:X44" si="18">+P33-T33</f>
        <v>-32046.300395453844</v>
      </c>
      <c r="Y33" s="4"/>
      <c r="Z33" s="34">
        <f t="shared" ref="Z33:Z44" si="19">IF(T33=0,0,X33/T33)</f>
        <v>-0.14281287267757653</v>
      </c>
    </row>
    <row r="34" spans="1:26" s="28" customFormat="1" outlineLevel="1" collapsed="1" x14ac:dyDescent="0.25">
      <c r="A34" s="29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15715.130000000001</v>
      </c>
      <c r="E34" s="1"/>
      <c r="F34" s="5">
        <f t="shared" si="12"/>
        <v>0.41776003785462135</v>
      </c>
      <c r="G34" s="1"/>
      <c r="H34" s="1">
        <f>SUM(OSRRefH22_0x_0)</f>
        <v>15587.2831171699</v>
      </c>
      <c r="I34" s="1"/>
      <c r="J34" s="5">
        <f t="shared" si="13"/>
        <v>0.43383570701021179</v>
      </c>
      <c r="K34" s="1"/>
      <c r="L34" s="1">
        <f t="shared" si="14"/>
        <v>127.84688283010109</v>
      </c>
      <c r="M34" s="1"/>
      <c r="N34" s="5">
        <f t="shared" si="15"/>
        <v>8.2019991469375175E-3</v>
      </c>
      <c r="O34" s="14"/>
      <c r="P34" s="1">
        <f>SUM(OSRRefP22_0x_0)</f>
        <v>51937.590000000004</v>
      </c>
      <c r="Q34" s="1"/>
      <c r="R34" s="5">
        <f t="shared" si="16"/>
        <v>3.8650950761508922E-2</v>
      </c>
      <c r="S34" s="1"/>
      <c r="T34" s="1">
        <f>SUM(OSRRefT22_0x_0)</f>
        <v>60463.364441811631</v>
      </c>
      <c r="U34" s="1"/>
      <c r="V34" s="5">
        <f t="shared" si="17"/>
        <v>2.1683907548998252E-2</v>
      </c>
      <c r="W34" s="1"/>
      <c r="X34" s="1">
        <f t="shared" si="18"/>
        <v>-8525.7744418116272</v>
      </c>
      <c r="Y34" s="1"/>
      <c r="Z34" s="5">
        <f t="shared" si="19"/>
        <v>-0.14100727805209401</v>
      </c>
    </row>
    <row r="35" spans="1:26" s="24" customFormat="1" hidden="1" outlineLevel="2" x14ac:dyDescent="0.25">
      <c r="A35" s="27"/>
      <c r="B35" s="11" t="str">
        <f>CONCATENATE("          ", "6111", " - ", "F.I.C.A.")</f>
        <v xml:space="preserve">          6111 - F.I.C.A.</v>
      </c>
      <c r="C35" s="11"/>
      <c r="D35" s="7">
        <v>2647.68</v>
      </c>
      <c r="E35" s="2"/>
      <c r="F35" s="6">
        <f t="shared" si="12"/>
        <v>7.0384075539109359E-2</v>
      </c>
      <c r="G35" s="2"/>
      <c r="H35" s="7">
        <v>2459.7806274747099</v>
      </c>
      <c r="I35" s="2"/>
      <c r="J35" s="6">
        <f t="shared" si="13"/>
        <v>6.8462262447457761E-2</v>
      </c>
      <c r="K35" s="2"/>
      <c r="L35" s="7">
        <f t="shared" si="14"/>
        <v>187.89937252528989</v>
      </c>
      <c r="M35" s="2"/>
      <c r="N35" s="6">
        <f t="shared" si="15"/>
        <v>7.6388670772723918E-2</v>
      </c>
      <c r="O35" s="11"/>
      <c r="P35" s="7">
        <v>9059.2000000000007</v>
      </c>
      <c r="Q35" s="2"/>
      <c r="R35" s="6">
        <f t="shared" si="16"/>
        <v>6.7416815670242229E-3</v>
      </c>
      <c r="S35" s="2"/>
      <c r="T35" s="7">
        <v>9879.4877789089605</v>
      </c>
      <c r="U35" s="2"/>
      <c r="V35" s="6">
        <f t="shared" si="17"/>
        <v>3.5430694538258027E-3</v>
      </c>
      <c r="W35" s="2"/>
      <c r="X35" s="7">
        <f t="shared" si="18"/>
        <v>-820.28777890895981</v>
      </c>
      <c r="Y35" s="2"/>
      <c r="Z35" s="6">
        <f t="shared" si="19"/>
        <v>-8.3029383432219619E-2</v>
      </c>
    </row>
    <row r="36" spans="1:26" s="24" customFormat="1" hidden="1" outlineLevel="2" x14ac:dyDescent="0.25">
      <c r="A36" s="27"/>
      <c r="B36" s="11" t="str">
        <f>CONCATENATE("          ", "6112", " - ", "COMPENSATION INSURANCE")</f>
        <v xml:space="preserve">          6112 - COMPENSATION INSURANCE</v>
      </c>
      <c r="C36" s="11"/>
      <c r="D36" s="7">
        <v>519.37</v>
      </c>
      <c r="E36" s="2"/>
      <c r="F36" s="6">
        <f t="shared" si="12"/>
        <v>1.3806569265450219E-2</v>
      </c>
      <c r="G36" s="2"/>
      <c r="H36" s="7">
        <v>572.61969435000003</v>
      </c>
      <c r="I36" s="2"/>
      <c r="J36" s="6">
        <f t="shared" si="13"/>
        <v>1.5937534981491277E-2</v>
      </c>
      <c r="K36" s="2"/>
      <c r="L36" s="7">
        <f t="shared" si="14"/>
        <v>-53.249694350000027</v>
      </c>
      <c r="M36" s="2"/>
      <c r="N36" s="6">
        <f t="shared" si="15"/>
        <v>-9.2993124189424806E-2</v>
      </c>
      <c r="O36" s="11"/>
      <c r="P36" s="7">
        <v>1838.47</v>
      </c>
      <c r="Q36" s="2"/>
      <c r="R36" s="6">
        <f t="shared" si="16"/>
        <v>1.3681538447685251E-3</v>
      </c>
      <c r="S36" s="2"/>
      <c r="T36" s="7">
        <v>2476.40649966</v>
      </c>
      <c r="U36" s="2"/>
      <c r="V36" s="6">
        <f t="shared" si="17"/>
        <v>8.8811084345204671E-4</v>
      </c>
      <c r="W36" s="2"/>
      <c r="X36" s="7">
        <f t="shared" si="18"/>
        <v>-637.93649965999998</v>
      </c>
      <c r="Y36" s="2"/>
      <c r="Z36" s="6">
        <f t="shared" si="19"/>
        <v>-0.25760572819833333</v>
      </c>
    </row>
    <row r="37" spans="1:26" s="24" customFormat="1" hidden="1" outlineLevel="2" x14ac:dyDescent="0.25">
      <c r="A37" s="27"/>
      <c r="B37" s="11" t="str">
        <f>CONCATENATE("          ", "6113", " - ", "GROUP INSURANCE")</f>
        <v xml:space="preserve">          6113 - GROUP INSURANCE</v>
      </c>
      <c r="C37" s="11"/>
      <c r="D37" s="7">
        <v>4593.8599999999997</v>
      </c>
      <c r="E37" s="2"/>
      <c r="F37" s="6">
        <f t="shared" si="12"/>
        <v>0.12211996512270853</v>
      </c>
      <c r="G37" s="2"/>
      <c r="H37" s="7">
        <v>5620</v>
      </c>
      <c r="I37" s="2"/>
      <c r="J37" s="6">
        <f t="shared" si="13"/>
        <v>0.15641960533273958</v>
      </c>
      <c r="K37" s="2"/>
      <c r="L37" s="7">
        <f t="shared" si="14"/>
        <v>-1026.1400000000003</v>
      </c>
      <c r="M37" s="2"/>
      <c r="N37" s="6">
        <f t="shared" si="15"/>
        <v>-0.18258718861209972</v>
      </c>
      <c r="O37" s="11"/>
      <c r="P37" s="7">
        <v>18431.689999999999</v>
      </c>
      <c r="Q37" s="2"/>
      <c r="R37" s="6">
        <f t="shared" si="16"/>
        <v>1.3716507497583085E-2</v>
      </c>
      <c r="S37" s="2"/>
      <c r="T37" s="7">
        <v>21868</v>
      </c>
      <c r="U37" s="2"/>
      <c r="V37" s="6">
        <f t="shared" si="17"/>
        <v>7.842495942114433E-3</v>
      </c>
      <c r="W37" s="2"/>
      <c r="X37" s="7">
        <f t="shared" si="18"/>
        <v>-3436.3100000000013</v>
      </c>
      <c r="Y37" s="2"/>
      <c r="Z37" s="6">
        <f t="shared" si="19"/>
        <v>-0.15713874154015006</v>
      </c>
    </row>
    <row r="38" spans="1:26" s="24" customFormat="1" hidden="1" outlineLevel="2" x14ac:dyDescent="0.25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7">
        <v>103.04</v>
      </c>
      <c r="E38" s="2"/>
      <c r="F38" s="6">
        <f t="shared" si="12"/>
        <v>2.739143379694612E-3</v>
      </c>
      <c r="G38" s="2"/>
      <c r="H38" s="7">
        <v>77.083420393269193</v>
      </c>
      <c r="I38" s="2"/>
      <c r="J38" s="6">
        <f t="shared" si="13"/>
        <v>2.1454374013545937E-3</v>
      </c>
      <c r="K38" s="2"/>
      <c r="L38" s="7">
        <f t="shared" si="14"/>
        <v>25.956579606730813</v>
      </c>
      <c r="M38" s="2"/>
      <c r="N38" s="6">
        <f t="shared" si="15"/>
        <v>0.33673362539316304</v>
      </c>
      <c r="O38" s="11"/>
      <c r="P38" s="7">
        <v>364.49</v>
      </c>
      <c r="Q38" s="2"/>
      <c r="R38" s="6">
        <f t="shared" si="16"/>
        <v>2.7124641407239697E-4</v>
      </c>
      <c r="S38" s="2"/>
      <c r="T38" s="7">
        <v>333.36241341576903</v>
      </c>
      <c r="U38" s="2"/>
      <c r="V38" s="6">
        <f t="shared" si="17"/>
        <v>1.1955338277239082E-4</v>
      </c>
      <c r="W38" s="2"/>
      <c r="X38" s="7">
        <f t="shared" si="18"/>
        <v>31.127586584230983</v>
      </c>
      <c r="Y38" s="2"/>
      <c r="Z38" s="6">
        <f t="shared" si="19"/>
        <v>9.3374613728299083E-2</v>
      </c>
    </row>
    <row r="39" spans="1:26" s="24" customFormat="1" hidden="1" outlineLevel="2" x14ac:dyDescent="0.25">
      <c r="A39" s="27"/>
      <c r="B39" s="11" t="str">
        <f>CONCATENATE("          ", "6115", " - ", "P.E.R.S.")</f>
        <v xml:space="preserve">          6115 - P.E.R.S.</v>
      </c>
      <c r="C39" s="11"/>
      <c r="D39" s="7">
        <v>2410.65</v>
      </c>
      <c r="E39" s="2"/>
      <c r="F39" s="6">
        <f t="shared" si="12"/>
        <v>6.4083035600357302E-2</v>
      </c>
      <c r="G39" s="2"/>
      <c r="H39" s="7">
        <v>2080.8534770576898</v>
      </c>
      <c r="I39" s="2"/>
      <c r="J39" s="6">
        <f t="shared" si="13"/>
        <v>5.7915708120395495E-2</v>
      </c>
      <c r="K39" s="2"/>
      <c r="L39" s="7">
        <f t="shared" si="14"/>
        <v>329.79652294231028</v>
      </c>
      <c r="M39" s="2"/>
      <c r="N39" s="6">
        <f t="shared" si="15"/>
        <v>0.15849098775019946</v>
      </c>
      <c r="O39" s="11"/>
      <c r="P39" s="7">
        <v>7231.95</v>
      </c>
      <c r="Q39" s="2"/>
      <c r="R39" s="6">
        <f t="shared" si="16"/>
        <v>5.3818774294243227E-3</v>
      </c>
      <c r="S39" s="2"/>
      <c r="T39" s="7">
        <v>7491.0725174076797</v>
      </c>
      <c r="U39" s="2"/>
      <c r="V39" s="6">
        <f t="shared" si="17"/>
        <v>2.6865148079318947E-3</v>
      </c>
      <c r="W39" s="2"/>
      <c r="X39" s="7">
        <f t="shared" si="18"/>
        <v>-259.12251740767988</v>
      </c>
      <c r="Y39" s="2"/>
      <c r="Z39" s="6">
        <f t="shared" si="19"/>
        <v>-3.4590843541500042E-2</v>
      </c>
    </row>
    <row r="40" spans="1:26" s="24" customFormat="1" hidden="1" outlineLevel="2" x14ac:dyDescent="0.25">
      <c r="A40" s="27"/>
      <c r="B40" s="11" t="str">
        <f>CONCATENATE("          ", "6116", " - ", "EDUCATIONAL BENEFITS")</f>
        <v xml:space="preserve">          6116 - EDUCATIONAL BENEFITS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7"/>
      <c r="B41" s="11" t="str">
        <f>CONCATENATE("          ", "6117", " - ", "RETIREMENT STAFF HOURLY")</f>
        <v xml:space="preserve">          6117 - RETIREMENT STAFF HOURLY</v>
      </c>
      <c r="C41" s="11"/>
      <c r="D41" s="7">
        <v>271.36</v>
      </c>
      <c r="E41" s="2"/>
      <c r="F41" s="6">
        <f t="shared" si="12"/>
        <v>7.2136446769597226E-3</v>
      </c>
      <c r="G41" s="2"/>
      <c r="H41" s="7"/>
      <c r="I41" s="2"/>
      <c r="J41" s="6">
        <f t="shared" si="13"/>
        <v>0</v>
      </c>
      <c r="K41" s="2"/>
      <c r="L41" s="7">
        <f t="shared" si="14"/>
        <v>271.36</v>
      </c>
      <c r="M41" s="2"/>
      <c r="N41" s="6">
        <f t="shared" si="15"/>
        <v>0</v>
      </c>
      <c r="O41" s="11"/>
      <c r="P41" s="7">
        <v>1248.25</v>
      </c>
      <c r="Q41" s="2"/>
      <c r="R41" s="6">
        <f t="shared" si="16"/>
        <v>9.2892352702644669E-4</v>
      </c>
      <c r="S41" s="2"/>
      <c r="T41" s="7"/>
      <c r="U41" s="2"/>
      <c r="V41" s="6">
        <f t="shared" si="17"/>
        <v>0</v>
      </c>
      <c r="W41" s="2"/>
      <c r="X41" s="7">
        <f t="shared" si="18"/>
        <v>1248.25</v>
      </c>
      <c r="Y41" s="2"/>
      <c r="Z41" s="6">
        <f t="shared" si="19"/>
        <v>0</v>
      </c>
    </row>
    <row r="42" spans="1:26" s="24" customFormat="1" hidden="1" outlineLevel="2" x14ac:dyDescent="0.25">
      <c r="A42" s="27"/>
      <c r="B42" s="11" t="str">
        <f>CONCATENATE("          ", "6118", " - ", "VACATION")</f>
        <v xml:space="preserve">          6118 - VACATION</v>
      </c>
      <c r="C42" s="11"/>
      <c r="D42" s="7">
        <v>2292.4699999999998</v>
      </c>
      <c r="E42" s="2"/>
      <c r="F42" s="6">
        <f t="shared" si="12"/>
        <v>6.094142103696143E-2</v>
      </c>
      <c r="G42" s="2"/>
      <c r="H42" s="7">
        <v>2111.4919273750002</v>
      </c>
      <c r="I42" s="2"/>
      <c r="J42" s="6">
        <f t="shared" si="13"/>
        <v>5.8768457997021906E-2</v>
      </c>
      <c r="K42" s="2"/>
      <c r="L42" s="7">
        <f t="shared" si="14"/>
        <v>180.97807262499964</v>
      </c>
      <c r="M42" s="2"/>
      <c r="N42" s="6">
        <f t="shared" si="15"/>
        <v>8.5710994334698212E-2</v>
      </c>
      <c r="O42" s="11"/>
      <c r="P42" s="7">
        <v>6101.24</v>
      </c>
      <c r="Q42" s="2"/>
      <c r="R42" s="6">
        <f t="shared" si="16"/>
        <v>4.5404248988863104E-3</v>
      </c>
      <c r="S42" s="2"/>
      <c r="T42" s="7">
        <v>7601.3709385499997</v>
      </c>
      <c r="U42" s="2"/>
      <c r="V42" s="6">
        <f t="shared" si="17"/>
        <v>2.7260710051255238E-3</v>
      </c>
      <c r="W42" s="2"/>
      <c r="X42" s="7">
        <f t="shared" si="18"/>
        <v>-1500.1309385499999</v>
      </c>
      <c r="Y42" s="2"/>
      <c r="Z42" s="6">
        <f t="shared" si="19"/>
        <v>-0.19735005049446483</v>
      </c>
    </row>
    <row r="43" spans="1:26" s="24" customFormat="1" hidden="1" outlineLevel="2" x14ac:dyDescent="0.25">
      <c r="A43" s="27"/>
      <c r="B43" s="11" t="str">
        <f>CONCATENATE("          ", "6119", " - ", "SICK LEAVE")</f>
        <v xml:space="preserve">          6119 - SICK LEAVE</v>
      </c>
      <c r="C43" s="11"/>
      <c r="D43" s="7">
        <v>1607.84</v>
      </c>
      <c r="E43" s="2"/>
      <c r="F43" s="6">
        <f t="shared" si="12"/>
        <v>4.2741695376632222E-2</v>
      </c>
      <c r="G43" s="2"/>
      <c r="H43" s="7">
        <v>1615.4539705192301</v>
      </c>
      <c r="I43" s="2"/>
      <c r="J43" s="6">
        <f t="shared" si="13"/>
        <v>4.4962397242317632E-2</v>
      </c>
      <c r="K43" s="2"/>
      <c r="L43" s="7">
        <f t="shared" si="14"/>
        <v>-7.613970519230179</v>
      </c>
      <c r="M43" s="2"/>
      <c r="N43" s="6">
        <f t="shared" si="15"/>
        <v>-4.7132079639402788E-3</v>
      </c>
      <c r="O43" s="11"/>
      <c r="P43" s="7">
        <v>4823.54</v>
      </c>
      <c r="Q43" s="2"/>
      <c r="R43" s="6">
        <f t="shared" si="16"/>
        <v>3.5895852509939086E-3</v>
      </c>
      <c r="S43" s="2"/>
      <c r="T43" s="7">
        <v>6613.6642938692203</v>
      </c>
      <c r="U43" s="2"/>
      <c r="V43" s="6">
        <f t="shared" si="17"/>
        <v>2.3718508957004058E-3</v>
      </c>
      <c r="W43" s="2"/>
      <c r="X43" s="7">
        <f t="shared" si="18"/>
        <v>-1790.1242938692203</v>
      </c>
      <c r="Y43" s="2"/>
      <c r="Z43" s="6">
        <f t="shared" si="19"/>
        <v>-0.27067057146045981</v>
      </c>
    </row>
    <row r="44" spans="1:26" s="24" customFormat="1" hidden="1" outlineLevel="2" x14ac:dyDescent="0.25">
      <c r="A44" s="27"/>
      <c r="B44" s="11" t="str">
        <f>CONCATENATE("          ", "6156", " - ", "EMPLOYEE MEALS")</f>
        <v xml:space="preserve">          6156 - EMPLOYEE MEALS</v>
      </c>
      <c r="C44" s="11"/>
      <c r="D44" s="7">
        <v>1268.8599999999999</v>
      </c>
      <c r="E44" s="2"/>
      <c r="F44" s="6">
        <f t="shared" si="12"/>
        <v>3.3730487856747912E-2</v>
      </c>
      <c r="G44" s="2"/>
      <c r="H44" s="7">
        <v>1050</v>
      </c>
      <c r="I44" s="2"/>
      <c r="J44" s="6">
        <f t="shared" si="13"/>
        <v>2.9224303487433548E-2</v>
      </c>
      <c r="K44" s="2"/>
      <c r="L44" s="7">
        <f t="shared" si="14"/>
        <v>218.8599999999999</v>
      </c>
      <c r="M44" s="2"/>
      <c r="N44" s="6">
        <f t="shared" si="15"/>
        <v>0.20843809523809514</v>
      </c>
      <c r="O44" s="11"/>
      <c r="P44" s="7">
        <v>2838.76</v>
      </c>
      <c r="Q44" s="2"/>
      <c r="R44" s="6">
        <f t="shared" si="16"/>
        <v>2.1125503317296983E-3</v>
      </c>
      <c r="S44" s="2"/>
      <c r="T44" s="7">
        <v>4200</v>
      </c>
      <c r="U44" s="2"/>
      <c r="V44" s="6">
        <f t="shared" si="17"/>
        <v>1.5062412180757553E-3</v>
      </c>
      <c r="W44" s="2"/>
      <c r="X44" s="7">
        <f t="shared" si="18"/>
        <v>-1361.2399999999998</v>
      </c>
      <c r="Y44" s="2"/>
      <c r="Z44" s="6">
        <f t="shared" si="19"/>
        <v>-0.32410476190476184</v>
      </c>
    </row>
    <row r="45" spans="1:26" s="28" customFormat="1" outlineLevel="1" collapsed="1" x14ac:dyDescent="0.25">
      <c r="A45" s="29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25944.329999999998</v>
      </c>
      <c r="E45" s="1"/>
      <c r="F45" s="5">
        <f t="shared" ref="F45:F55" si="20">IF(D$12=0,0,D45/D$12)</f>
        <v>0.6896859448768663</v>
      </c>
      <c r="G45" s="1"/>
      <c r="H45" s="1">
        <f>SUM(OSRRefH22_1x_0)</f>
        <v>33592.854431567299</v>
      </c>
      <c r="I45" s="1"/>
      <c r="J45" s="5">
        <f t="shared" ref="J45:J55" si="21">IF(H$12=0,0,H45/H$12)</f>
        <v>0.9349788313498093</v>
      </c>
      <c r="K45" s="1"/>
      <c r="L45" s="1">
        <f t="shared" ref="L45:L55" si="22">+D45-H45</f>
        <v>-7648.5244315673008</v>
      </c>
      <c r="M45" s="1"/>
      <c r="N45" s="5">
        <f t="shared" ref="N45:N55" si="23">IF(H45=0,0,L45/H45)</f>
        <v>-0.22768307608834695</v>
      </c>
      <c r="O45" s="14"/>
      <c r="P45" s="1">
        <f>SUM(OSRRefP22_1x_0)</f>
        <v>125315.64999999998</v>
      </c>
      <c r="Q45" s="1"/>
      <c r="R45" s="5">
        <f t="shared" ref="R45:R55" si="24">IF(P$12=0,0,P45/P$12)</f>
        <v>9.3257484950620237E-2</v>
      </c>
      <c r="S45" s="1"/>
      <c r="T45" s="1">
        <f>SUM(OSRRefT22_1x_0)</f>
        <v>147535.27595364221</v>
      </c>
      <c r="U45" s="1"/>
      <c r="V45" s="5">
        <f t="shared" ref="V45:V55" si="25">IF(T$12=0,0,T45/T$12)</f>
        <v>5.2910408038465889E-2</v>
      </c>
      <c r="W45" s="1"/>
      <c r="X45" s="1">
        <f t="shared" ref="X45:X55" si="26">+P45-T45</f>
        <v>-22219.625953642229</v>
      </c>
      <c r="Y45" s="1"/>
      <c r="Z45" s="5">
        <f t="shared" ref="Z45:Z55" si="27">IF(T45=0,0,X45/T45)</f>
        <v>-0.15060551322399646</v>
      </c>
    </row>
    <row r="46" spans="1:26" s="24" customFormat="1" hidden="1" outlineLevel="2" x14ac:dyDescent="0.25">
      <c r="A46" s="27"/>
      <c r="B46" s="11" t="str">
        <f>CONCATENATE("          ", "6001", " - ", "ADMINISTRATIVE SALARIES")</f>
        <v xml:space="preserve">          6001 - ADMINISTRATIVE SALARIES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7"/>
      <c r="B47" s="11" t="str">
        <f>CONCATENATE("          ", "6002", " - ", "STAFF SALARIES")</f>
        <v xml:space="preserve">          6002 - STAFF SALARIES</v>
      </c>
      <c r="C47" s="11"/>
      <c r="D47" s="7">
        <v>16567.12</v>
      </c>
      <c r="E47" s="2"/>
      <c r="F47" s="6">
        <f t="shared" si="20"/>
        <v>0.44040874484283959</v>
      </c>
      <c r="G47" s="2"/>
      <c r="H47" s="7">
        <v>21617.1259715673</v>
      </c>
      <c r="I47" s="2"/>
      <c r="J47" s="6">
        <f t="shared" si="21"/>
        <v>0.60166233325634721</v>
      </c>
      <c r="K47" s="2"/>
      <c r="L47" s="7">
        <f t="shared" si="22"/>
        <v>-5050.0059715673015</v>
      </c>
      <c r="M47" s="2"/>
      <c r="N47" s="6">
        <f t="shared" si="23"/>
        <v>-0.23361134954801591</v>
      </c>
      <c r="O47" s="11"/>
      <c r="P47" s="7">
        <v>69667.899999999994</v>
      </c>
      <c r="Q47" s="2"/>
      <c r="R47" s="6">
        <f t="shared" si="24"/>
        <v>5.1845504817565211E-2</v>
      </c>
      <c r="S47" s="2"/>
      <c r="T47" s="7">
        <v>77821.653497642197</v>
      </c>
      <c r="U47" s="2"/>
      <c r="V47" s="6">
        <f t="shared" si="25"/>
        <v>2.7909090989751893E-2</v>
      </c>
      <c r="W47" s="2"/>
      <c r="X47" s="7">
        <f t="shared" si="26"/>
        <v>-8153.753497642203</v>
      </c>
      <c r="Y47" s="2"/>
      <c r="Z47" s="6">
        <f t="shared" si="27"/>
        <v>-0.10477486831976966</v>
      </c>
    </row>
    <row r="48" spans="1:26" s="24" customFormat="1" hidden="1" outlineLevel="2" x14ac:dyDescent="0.25">
      <c r="A48" s="27"/>
      <c r="B48" s="11" t="str">
        <f>CONCATENATE("          ", "6003", " - ", "STAFF HOURLY-9 MONTH")</f>
        <v xml:space="preserve">          6003 - STAFF HOURLY-9 MONTH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25">
      <c r="A49" s="27"/>
      <c r="B49" s="11" t="str">
        <f>CONCATENATE("          ", "6004", " - ", "STAFF HOURLY")</f>
        <v xml:space="preserve">          6004 - STAFF HOURLY</v>
      </c>
      <c r="C49" s="11"/>
      <c r="D49" s="7">
        <v>7047.55</v>
      </c>
      <c r="E49" s="2"/>
      <c r="F49" s="6">
        <f t="shared" si="20"/>
        <v>0.18734714601675817</v>
      </c>
      <c r="G49" s="2"/>
      <c r="H49" s="7">
        <v>7410.7284600000003</v>
      </c>
      <c r="I49" s="2"/>
      <c r="J49" s="6">
        <f t="shared" si="21"/>
        <v>0.20626035959809624</v>
      </c>
      <c r="K49" s="2"/>
      <c r="L49" s="7">
        <f t="shared" si="22"/>
        <v>-363.17846000000009</v>
      </c>
      <c r="M49" s="2"/>
      <c r="N49" s="6">
        <f t="shared" si="23"/>
        <v>-4.9007120144839322E-2</v>
      </c>
      <c r="O49" s="11"/>
      <c r="P49" s="7">
        <v>24796.46</v>
      </c>
      <c r="Q49" s="2"/>
      <c r="R49" s="6">
        <f t="shared" si="24"/>
        <v>1.8453046329637655E-2</v>
      </c>
      <c r="S49" s="2"/>
      <c r="T49" s="7">
        <v>26678.622456000001</v>
      </c>
      <c r="U49" s="2"/>
      <c r="V49" s="6">
        <f t="shared" si="25"/>
        <v>9.5677239963592002E-3</v>
      </c>
      <c r="W49" s="2"/>
      <c r="X49" s="7">
        <f t="shared" si="26"/>
        <v>-1882.1624560000018</v>
      </c>
      <c r="Y49" s="2"/>
      <c r="Z49" s="6">
        <f t="shared" si="27"/>
        <v>-7.0549461806140037E-2</v>
      </c>
    </row>
    <row r="50" spans="1:26" s="24" customFormat="1" hidden="1" outlineLevel="2" x14ac:dyDescent="0.25">
      <c r="A50" s="27"/>
      <c r="B50" s="11" t="str">
        <f>CONCATENATE("          ", "6005", " - ", "TEMPORARY WAGES-HOURLY")</f>
        <v xml:space="preserve">          6005 - TEMPORARY WAGES-HOURLY</v>
      </c>
      <c r="C50" s="11"/>
      <c r="D50" s="7">
        <v>2403.63</v>
      </c>
      <c r="E50" s="2"/>
      <c r="F50" s="6">
        <f t="shared" si="20"/>
        <v>6.389642082429503E-2</v>
      </c>
      <c r="G50" s="2"/>
      <c r="H50" s="7">
        <v>3445</v>
      </c>
      <c r="I50" s="2"/>
      <c r="J50" s="6">
        <f t="shared" si="21"/>
        <v>9.5883548108770075E-2</v>
      </c>
      <c r="K50" s="2"/>
      <c r="L50" s="7">
        <f t="shared" si="22"/>
        <v>-1041.3699999999999</v>
      </c>
      <c r="M50" s="2"/>
      <c r="N50" s="6">
        <f t="shared" si="23"/>
        <v>-0.30228447024673438</v>
      </c>
      <c r="O50" s="11"/>
      <c r="P50" s="7">
        <v>10540.86</v>
      </c>
      <c r="Q50" s="2"/>
      <c r="R50" s="6">
        <f t="shared" si="24"/>
        <v>7.8443043053010135E-3</v>
      </c>
      <c r="S50" s="2"/>
      <c r="T50" s="7">
        <v>15091</v>
      </c>
      <c r="U50" s="2"/>
      <c r="V50" s="6">
        <f t="shared" si="25"/>
        <v>5.4120681480907679E-3</v>
      </c>
      <c r="W50" s="2"/>
      <c r="X50" s="7">
        <f t="shared" si="26"/>
        <v>-4550.1399999999994</v>
      </c>
      <c r="Y50" s="2"/>
      <c r="Z50" s="6">
        <f t="shared" si="27"/>
        <v>-0.30151348485852492</v>
      </c>
    </row>
    <row r="51" spans="1:26" s="24" customFormat="1" hidden="1" outlineLevel="2" x14ac:dyDescent="0.25">
      <c r="A51" s="27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4" customFormat="1" hidden="1" outlineLevel="2" x14ac:dyDescent="0.25">
      <c r="A52" s="27"/>
      <c r="B52" s="11" t="str">
        <f>CONCATENATE("          ", "6007", " - ", "STUDENT HOURLY")</f>
        <v xml:space="preserve">          6007 - STUDENT HOURLY</v>
      </c>
      <c r="C52" s="11"/>
      <c r="D52" s="7">
        <v>-240.57</v>
      </c>
      <c r="E52" s="2"/>
      <c r="F52" s="6">
        <f t="shared" si="20"/>
        <v>-6.3951448258262105E-3</v>
      </c>
      <c r="G52" s="2"/>
      <c r="H52" s="7">
        <v>0</v>
      </c>
      <c r="I52" s="2"/>
      <c r="J52" s="6">
        <f t="shared" si="21"/>
        <v>0</v>
      </c>
      <c r="K52" s="2"/>
      <c r="L52" s="7">
        <f t="shared" si="22"/>
        <v>-240.57</v>
      </c>
      <c r="M52" s="2"/>
      <c r="N52" s="6">
        <f t="shared" si="23"/>
        <v>0</v>
      </c>
      <c r="O52" s="11"/>
      <c r="P52" s="7">
        <v>16343.95</v>
      </c>
      <c r="Q52" s="2"/>
      <c r="R52" s="6">
        <f t="shared" si="24"/>
        <v>1.2162851736065607E-2</v>
      </c>
      <c r="S52" s="2"/>
      <c r="T52" s="7">
        <v>13384</v>
      </c>
      <c r="U52" s="2"/>
      <c r="V52" s="6">
        <f t="shared" si="25"/>
        <v>4.7998886816014068E-3</v>
      </c>
      <c r="W52" s="2"/>
      <c r="X52" s="7">
        <f t="shared" si="26"/>
        <v>2959.9500000000007</v>
      </c>
      <c r="Y52" s="2"/>
      <c r="Z52" s="6">
        <f t="shared" si="27"/>
        <v>0.22115585774058583</v>
      </c>
    </row>
    <row r="53" spans="1:26" s="24" customFormat="1" hidden="1" outlineLevel="2" x14ac:dyDescent="0.25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7">
        <v>166.6</v>
      </c>
      <c r="E53" s="2"/>
      <c r="F53" s="6">
        <f t="shared" si="20"/>
        <v>4.4287780187997113E-3</v>
      </c>
      <c r="G53" s="2"/>
      <c r="H53" s="7">
        <v>1120</v>
      </c>
      <c r="I53" s="2"/>
      <c r="J53" s="6">
        <f t="shared" si="21"/>
        <v>3.1172590386595787E-2</v>
      </c>
      <c r="K53" s="2"/>
      <c r="L53" s="7">
        <f t="shared" si="22"/>
        <v>-953.4</v>
      </c>
      <c r="M53" s="2"/>
      <c r="N53" s="6">
        <f t="shared" si="23"/>
        <v>-0.85124999999999995</v>
      </c>
      <c r="O53" s="11"/>
      <c r="P53" s="7">
        <v>3966.48</v>
      </c>
      <c r="Q53" s="2"/>
      <c r="R53" s="6">
        <f t="shared" si="24"/>
        <v>2.9517777620507589E-3</v>
      </c>
      <c r="S53" s="2"/>
      <c r="T53" s="7">
        <v>14560</v>
      </c>
      <c r="U53" s="2"/>
      <c r="V53" s="6">
        <f t="shared" si="25"/>
        <v>5.2216362226626184E-3</v>
      </c>
      <c r="W53" s="2"/>
      <c r="X53" s="7">
        <f t="shared" si="26"/>
        <v>-10593.52</v>
      </c>
      <c r="Y53" s="2"/>
      <c r="Z53" s="6">
        <f t="shared" si="27"/>
        <v>-0.72757692307692312</v>
      </c>
    </row>
    <row r="54" spans="1:26" s="24" customFormat="1" hidden="1" outlineLevel="2" x14ac:dyDescent="0.25">
      <c r="A54" s="27"/>
      <c r="B54" s="11" t="str">
        <f>CONCATENATE("          ", "6009", " - ", "TEMPORARY-SEASONAL")</f>
        <v xml:space="preserve">          6009 - TEMPORARY-SEASONAL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25">
      <c r="A55" s="27"/>
      <c r="B55" s="11" t="str">
        <f>CONCATENATE("          ", "6010", " - ", "GRATUITY")</f>
        <v xml:space="preserve">          6010 - GRATUITY</v>
      </c>
      <c r="C55" s="11"/>
      <c r="D55" s="7"/>
      <c r="E55" s="2"/>
      <c r="F55" s="6">
        <f t="shared" si="20"/>
        <v>0</v>
      </c>
      <c r="G55" s="2"/>
      <c r="H55" s="7">
        <v>0</v>
      </c>
      <c r="I55" s="2"/>
      <c r="J55" s="6">
        <f t="shared" si="21"/>
        <v>0</v>
      </c>
      <c r="K55" s="2"/>
      <c r="L55" s="7">
        <f t="shared" si="22"/>
        <v>0</v>
      </c>
      <c r="M55" s="2"/>
      <c r="N55" s="6">
        <f t="shared" si="23"/>
        <v>0</v>
      </c>
      <c r="O55" s="11"/>
      <c r="P55" s="7"/>
      <c r="Q55" s="2"/>
      <c r="R55" s="6">
        <f t="shared" si="24"/>
        <v>0</v>
      </c>
      <c r="S55" s="2"/>
      <c r="T55" s="7">
        <v>0</v>
      </c>
      <c r="U55" s="2"/>
      <c r="V55" s="6">
        <f t="shared" si="25"/>
        <v>0</v>
      </c>
      <c r="W55" s="2"/>
      <c r="X55" s="7">
        <f t="shared" si="26"/>
        <v>0</v>
      </c>
      <c r="Y55" s="2"/>
      <c r="Z55" s="6">
        <f t="shared" si="27"/>
        <v>0</v>
      </c>
    </row>
    <row r="56" spans="1:26" s="28" customFormat="1" outlineLevel="1" collapsed="1" x14ac:dyDescent="0.25">
      <c r="A56" s="29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113.63</v>
      </c>
      <c r="E56" s="1"/>
      <c r="F56" s="5">
        <f t="shared" ref="F56:F71" si="28">IF(D$12=0,0,D56/D$12)</f>
        <v>3.0206605418740171E-3</v>
      </c>
      <c r="G56" s="1"/>
      <c r="H56" s="1">
        <f>SUM(OSRRefH22_2x_0)</f>
        <v>100</v>
      </c>
      <c r="I56" s="1"/>
      <c r="J56" s="5">
        <f t="shared" ref="J56:J71" si="29">IF(H$12=0,0,H56/H$12)</f>
        <v>2.7832669988031951E-3</v>
      </c>
      <c r="K56" s="1"/>
      <c r="L56" s="1">
        <f t="shared" ref="L56:L71" si="30">+D56-H56</f>
        <v>13.629999999999995</v>
      </c>
      <c r="M56" s="1"/>
      <c r="N56" s="5">
        <f t="shared" ref="N56:N71" si="31">IF(H56=0,0,L56/H56)</f>
        <v>0.13629999999999995</v>
      </c>
      <c r="O56" s="14"/>
      <c r="P56" s="1">
        <f>SUM(OSRRefP22_2x_0)</f>
        <v>233.05</v>
      </c>
      <c r="Q56" s="1"/>
      <c r="R56" s="5">
        <f t="shared" ref="R56:R71" si="32">IF(P$12=0,0,P56/P$12)</f>
        <v>1.7343130620750121E-4</v>
      </c>
      <c r="S56" s="1"/>
      <c r="T56" s="1">
        <f>SUM(OSRRefT22_2x_0)</f>
        <v>2000</v>
      </c>
      <c r="U56" s="1"/>
      <c r="V56" s="5">
        <f t="shared" ref="V56:V71" si="33">IF(T$12=0,0,T56/T$12)</f>
        <v>7.1725772289321687E-4</v>
      </c>
      <c r="W56" s="1"/>
      <c r="X56" s="1">
        <f t="shared" ref="X56:X71" si="34">+P56-T56</f>
        <v>-1766.95</v>
      </c>
      <c r="Y56" s="1"/>
      <c r="Z56" s="5">
        <f t="shared" ref="Z56:Z71" si="35">IF(T56=0,0,X56/T56)</f>
        <v>-0.88347500000000001</v>
      </c>
    </row>
    <row r="57" spans="1:26" s="24" customFormat="1" hidden="1" outlineLevel="2" x14ac:dyDescent="0.25">
      <c r="A57" s="27"/>
      <c r="B57" s="11" t="str">
        <f>CONCATENATE("          ", "6362", " - ", "ADVERTISING EXPENSE")</f>
        <v xml:space="preserve">          6362 - ADVERTISING EXPENSE</v>
      </c>
      <c r="C57" s="11"/>
      <c r="D57" s="7">
        <v>113.63</v>
      </c>
      <c r="E57" s="2"/>
      <c r="F57" s="6">
        <f t="shared" si="28"/>
        <v>3.0206605418740171E-3</v>
      </c>
      <c r="G57" s="2"/>
      <c r="H57" s="7">
        <v>100</v>
      </c>
      <c r="I57" s="2"/>
      <c r="J57" s="6">
        <f t="shared" si="29"/>
        <v>2.7832669988031951E-3</v>
      </c>
      <c r="K57" s="2"/>
      <c r="L57" s="7">
        <f t="shared" si="30"/>
        <v>13.629999999999995</v>
      </c>
      <c r="M57" s="2"/>
      <c r="N57" s="6">
        <f t="shared" si="31"/>
        <v>0.13629999999999995</v>
      </c>
      <c r="O57" s="11"/>
      <c r="P57" s="7">
        <v>233.05</v>
      </c>
      <c r="Q57" s="2"/>
      <c r="R57" s="6">
        <f t="shared" si="32"/>
        <v>1.7343130620750121E-4</v>
      </c>
      <c r="S57" s="2"/>
      <c r="T57" s="7">
        <v>2000</v>
      </c>
      <c r="U57" s="2"/>
      <c r="V57" s="6">
        <f t="shared" si="33"/>
        <v>7.1725772289321687E-4</v>
      </c>
      <c r="W57" s="2"/>
      <c r="X57" s="7">
        <f t="shared" si="34"/>
        <v>-1766.95</v>
      </c>
      <c r="Y57" s="2"/>
      <c r="Z57" s="6">
        <f t="shared" si="35"/>
        <v>-0.88347500000000001</v>
      </c>
    </row>
    <row r="58" spans="1:26" s="28" customFormat="1" outlineLevel="1" collapsed="1" x14ac:dyDescent="0.25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SUM(OSRRefD22_3x_0)</f>
        <v>0</v>
      </c>
      <c r="E58" s="1"/>
      <c r="F58" s="5">
        <f t="shared" si="28"/>
        <v>0</v>
      </c>
      <c r="G58" s="1"/>
      <c r="H58" s="1">
        <f>SUM(OSRRefH22_3x_0)</f>
        <v>50</v>
      </c>
      <c r="I58" s="1"/>
      <c r="J58" s="5">
        <f t="shared" si="29"/>
        <v>1.3916334994015975E-3</v>
      </c>
      <c r="K58" s="1"/>
      <c r="L58" s="1">
        <f t="shared" si="30"/>
        <v>-50</v>
      </c>
      <c r="M58" s="1"/>
      <c r="N58" s="5">
        <f t="shared" si="31"/>
        <v>-1</v>
      </c>
      <c r="O58" s="14"/>
      <c r="P58" s="1">
        <f>SUM(OSRRefP22_3x_0)</f>
        <v>0</v>
      </c>
      <c r="Q58" s="1"/>
      <c r="R58" s="5">
        <f t="shared" si="32"/>
        <v>0</v>
      </c>
      <c r="S58" s="1"/>
      <c r="T58" s="1">
        <f>SUM(OSRRefT22_3x_0)</f>
        <v>200</v>
      </c>
      <c r="U58" s="1"/>
      <c r="V58" s="5">
        <f t="shared" si="33"/>
        <v>7.1725772289321681E-5</v>
      </c>
      <c r="W58" s="1"/>
      <c r="X58" s="1">
        <f t="shared" si="34"/>
        <v>-200</v>
      </c>
      <c r="Y58" s="1"/>
      <c r="Z58" s="5">
        <f t="shared" si="35"/>
        <v>-1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50</v>
      </c>
      <c r="I59" s="2"/>
      <c r="J59" s="6">
        <f t="shared" si="29"/>
        <v>1.3916334994015975E-3</v>
      </c>
      <c r="K59" s="2"/>
      <c r="L59" s="7">
        <f t="shared" si="30"/>
        <v>-50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200</v>
      </c>
      <c r="U59" s="2"/>
      <c r="V59" s="6">
        <f t="shared" si="33"/>
        <v>7.1725772289321681E-5</v>
      </c>
      <c r="W59" s="2"/>
      <c r="X59" s="7">
        <f t="shared" si="34"/>
        <v>-200</v>
      </c>
      <c r="Y59" s="2"/>
      <c r="Z59" s="6">
        <f t="shared" si="35"/>
        <v>-1</v>
      </c>
    </row>
    <row r="60" spans="1:26" s="28" customFormat="1" outlineLevel="1" collapsed="1" x14ac:dyDescent="0.25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SUM(OSRRefD22_4x_0)</f>
        <v>91.26</v>
      </c>
      <c r="E60" s="1"/>
      <c r="F60" s="5">
        <f t="shared" si="28"/>
        <v>2.4259920888094941E-3</v>
      </c>
      <c r="G60" s="1"/>
      <c r="H60" s="1">
        <f>SUM(OSRRefH22_4x_0)</f>
        <v>100</v>
      </c>
      <c r="I60" s="1"/>
      <c r="J60" s="5">
        <f t="shared" si="29"/>
        <v>2.7832669988031951E-3</v>
      </c>
      <c r="K60" s="1"/>
      <c r="L60" s="1">
        <f t="shared" si="30"/>
        <v>-8.7399999999999949</v>
      </c>
      <c r="M60" s="1"/>
      <c r="N60" s="5">
        <f t="shared" si="31"/>
        <v>-8.739999999999995E-2</v>
      </c>
      <c r="O60" s="14"/>
      <c r="P60" s="1">
        <f>SUM(OSRRefP22_4x_0)</f>
        <v>365.04</v>
      </c>
      <c r="Q60" s="1"/>
      <c r="R60" s="5">
        <f t="shared" si="32"/>
        <v>2.7165571344340807E-4</v>
      </c>
      <c r="S60" s="1"/>
      <c r="T60" s="1">
        <f>SUM(OSRRefT22_4x_0)</f>
        <v>400</v>
      </c>
      <c r="U60" s="1"/>
      <c r="V60" s="5">
        <f t="shared" si="33"/>
        <v>1.4345154457864336E-4</v>
      </c>
      <c r="W60" s="1"/>
      <c r="X60" s="1">
        <f t="shared" si="34"/>
        <v>-34.95999999999998</v>
      </c>
      <c r="Y60" s="1"/>
      <c r="Z60" s="5">
        <f t="shared" si="35"/>
        <v>-8.739999999999995E-2</v>
      </c>
    </row>
    <row r="61" spans="1:26" s="24" customFormat="1" hidden="1" outlineLevel="2" x14ac:dyDescent="0.25">
      <c r="A61" s="27"/>
      <c r="B61" s="11" t="str">
        <f>CONCATENATE("          ", "6351", " - ", "EQUIPMENT RENTAL")</f>
        <v xml:space="preserve">          6351 - EQUIPMENT RENTAL</v>
      </c>
      <c r="C61" s="11"/>
      <c r="D61" s="7">
        <v>91.26</v>
      </c>
      <c r="E61" s="2"/>
      <c r="F61" s="6">
        <f t="shared" si="28"/>
        <v>2.4259920888094941E-3</v>
      </c>
      <c r="G61" s="2"/>
      <c r="H61" s="7">
        <v>100</v>
      </c>
      <c r="I61" s="2"/>
      <c r="J61" s="6">
        <f t="shared" si="29"/>
        <v>2.7832669988031951E-3</v>
      </c>
      <c r="K61" s="2"/>
      <c r="L61" s="7">
        <f t="shared" si="30"/>
        <v>-8.7399999999999949</v>
      </c>
      <c r="M61" s="2"/>
      <c r="N61" s="6">
        <f t="shared" si="31"/>
        <v>-8.739999999999995E-2</v>
      </c>
      <c r="O61" s="11"/>
      <c r="P61" s="7">
        <v>365.04</v>
      </c>
      <c r="Q61" s="2"/>
      <c r="R61" s="6">
        <f t="shared" si="32"/>
        <v>2.7165571344340807E-4</v>
      </c>
      <c r="S61" s="2"/>
      <c r="T61" s="7">
        <v>400</v>
      </c>
      <c r="U61" s="2"/>
      <c r="V61" s="6">
        <f t="shared" si="33"/>
        <v>1.4345154457864336E-4</v>
      </c>
      <c r="W61" s="2"/>
      <c r="X61" s="7">
        <f t="shared" si="34"/>
        <v>-34.95999999999998</v>
      </c>
      <c r="Y61" s="2"/>
      <c r="Z61" s="6">
        <f t="shared" si="35"/>
        <v>-8.739999999999995E-2</v>
      </c>
    </row>
    <row r="62" spans="1:26" s="28" customFormat="1" outlineLevel="1" collapsed="1" x14ac:dyDescent="0.25">
      <c r="A62" s="29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SUM(OSRRefD22_5x_0)</f>
        <v>13.21</v>
      </c>
      <c r="E62" s="1"/>
      <c r="F62" s="5">
        <f t="shared" si="28"/>
        <v>3.5116541193483912E-4</v>
      </c>
      <c r="G62" s="1"/>
      <c r="H62" s="1">
        <f>SUM(OSRRefH22_5x_0)</f>
        <v>1800</v>
      </c>
      <c r="I62" s="1"/>
      <c r="J62" s="5">
        <f t="shared" si="29"/>
        <v>5.0098805978457513E-2</v>
      </c>
      <c r="K62" s="1"/>
      <c r="L62" s="1">
        <f t="shared" si="30"/>
        <v>-1786.79</v>
      </c>
      <c r="M62" s="1"/>
      <c r="N62" s="5">
        <f t="shared" si="31"/>
        <v>-0.99266111111111111</v>
      </c>
      <c r="O62" s="14"/>
      <c r="P62" s="1">
        <f>SUM(OSRRefP22_5x_0)</f>
        <v>393.75</v>
      </c>
      <c r="Q62" s="1"/>
      <c r="R62" s="5">
        <f t="shared" si="32"/>
        <v>2.9302114061018493E-4</v>
      </c>
      <c r="S62" s="1"/>
      <c r="T62" s="1">
        <f>SUM(OSRRefT22_5x_0)</f>
        <v>3400</v>
      </c>
      <c r="U62" s="1"/>
      <c r="V62" s="5">
        <f t="shared" si="33"/>
        <v>1.2193381289184685E-3</v>
      </c>
      <c r="W62" s="1"/>
      <c r="X62" s="1">
        <f t="shared" si="34"/>
        <v>-3006.25</v>
      </c>
      <c r="Y62" s="1"/>
      <c r="Z62" s="5">
        <f t="shared" si="35"/>
        <v>-0.8841911764705882</v>
      </c>
    </row>
    <row r="63" spans="1:26" s="24" customFormat="1" hidden="1" outlineLevel="2" x14ac:dyDescent="0.25">
      <c r="A63" s="27"/>
      <c r="B63" s="11" t="str">
        <f>CONCATENATE("          ", "6305", " - ", "FREIGHT OUT")</f>
        <v xml:space="preserve">          6305 - FREIGHT OUT</v>
      </c>
      <c r="C63" s="11"/>
      <c r="D63" s="7">
        <v>13.21</v>
      </c>
      <c r="E63" s="2"/>
      <c r="F63" s="6">
        <f t="shared" si="28"/>
        <v>3.5116541193483912E-4</v>
      </c>
      <c r="G63" s="2"/>
      <c r="H63" s="7">
        <v>1800</v>
      </c>
      <c r="I63" s="2"/>
      <c r="J63" s="6">
        <f t="shared" si="29"/>
        <v>5.0098805978457513E-2</v>
      </c>
      <c r="K63" s="2"/>
      <c r="L63" s="7">
        <f t="shared" si="30"/>
        <v>-1786.79</v>
      </c>
      <c r="M63" s="2"/>
      <c r="N63" s="6">
        <f t="shared" si="31"/>
        <v>-0.99266111111111111</v>
      </c>
      <c r="O63" s="11"/>
      <c r="P63" s="7">
        <v>393.75</v>
      </c>
      <c r="Q63" s="2"/>
      <c r="R63" s="6">
        <f t="shared" si="32"/>
        <v>2.9302114061018493E-4</v>
      </c>
      <c r="S63" s="2"/>
      <c r="T63" s="7">
        <v>3400</v>
      </c>
      <c r="U63" s="2"/>
      <c r="V63" s="6">
        <f t="shared" si="33"/>
        <v>1.2193381289184685E-3</v>
      </c>
      <c r="W63" s="2"/>
      <c r="X63" s="7">
        <f t="shared" si="34"/>
        <v>-3006.25</v>
      </c>
      <c r="Y63" s="2"/>
      <c r="Z63" s="6">
        <f t="shared" si="35"/>
        <v>-0.8841911764705882</v>
      </c>
    </row>
    <row r="64" spans="1:26" s="28" customFormat="1" outlineLevel="1" collapsed="1" x14ac:dyDescent="0.25">
      <c r="A64" s="29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SUM(OSRRefD22_6x_0)</f>
        <v>0</v>
      </c>
      <c r="E64" s="1"/>
      <c r="F64" s="5">
        <f t="shared" si="28"/>
        <v>0</v>
      </c>
      <c r="G64" s="1"/>
      <c r="H64" s="1">
        <f>SUM(OSRRefH22_6x_0)</f>
        <v>0</v>
      </c>
      <c r="I64" s="1"/>
      <c r="J64" s="5">
        <f t="shared" si="29"/>
        <v>0</v>
      </c>
      <c r="K64" s="1"/>
      <c r="L64" s="1">
        <f t="shared" si="30"/>
        <v>0</v>
      </c>
      <c r="M64" s="1"/>
      <c r="N64" s="5">
        <f t="shared" si="31"/>
        <v>0</v>
      </c>
      <c r="O64" s="14"/>
      <c r="P64" s="1">
        <f>SUM(OSRRefP22_6x_0)</f>
        <v>0</v>
      </c>
      <c r="Q64" s="1"/>
      <c r="R64" s="5">
        <f t="shared" si="32"/>
        <v>0</v>
      </c>
      <c r="S64" s="1"/>
      <c r="T64" s="1">
        <f>SUM(OSRRefT22_6x_0)</f>
        <v>125</v>
      </c>
      <c r="U64" s="1"/>
      <c r="V64" s="5">
        <f t="shared" si="33"/>
        <v>4.4828607680826054E-5</v>
      </c>
      <c r="W64" s="1"/>
      <c r="X64" s="1">
        <f t="shared" si="34"/>
        <v>-125</v>
      </c>
      <c r="Y64" s="1"/>
      <c r="Z64" s="5">
        <f t="shared" si="35"/>
        <v>-1</v>
      </c>
    </row>
    <row r="65" spans="1:26" s="24" customFormat="1" hidden="1" outlineLevel="2" x14ac:dyDescent="0.25">
      <c r="A65" s="27"/>
      <c r="B65" s="11" t="str">
        <f>CONCATENATE("          ", "6279", " - ", "GENERAL EXPENSE")</f>
        <v xml:space="preserve">          6279 - GENERAL EXPENSE</v>
      </c>
      <c r="C65" s="11"/>
      <c r="D65" s="7"/>
      <c r="E65" s="2"/>
      <c r="F65" s="6">
        <f t="shared" si="28"/>
        <v>0</v>
      </c>
      <c r="G65" s="2"/>
      <c r="H65" s="7">
        <v>0</v>
      </c>
      <c r="I65" s="2"/>
      <c r="J65" s="6">
        <f t="shared" si="29"/>
        <v>0</v>
      </c>
      <c r="K65" s="2"/>
      <c r="L65" s="7">
        <f t="shared" si="30"/>
        <v>0</v>
      </c>
      <c r="M65" s="2"/>
      <c r="N65" s="6">
        <f t="shared" si="31"/>
        <v>0</v>
      </c>
      <c r="O65" s="11"/>
      <c r="P65" s="7"/>
      <c r="Q65" s="2"/>
      <c r="R65" s="6">
        <f t="shared" si="32"/>
        <v>0</v>
      </c>
      <c r="S65" s="2"/>
      <c r="T65" s="7">
        <v>125</v>
      </c>
      <c r="U65" s="2"/>
      <c r="V65" s="6">
        <f t="shared" si="33"/>
        <v>4.4828607680826054E-5</v>
      </c>
      <c r="W65" s="2"/>
      <c r="X65" s="7">
        <f t="shared" si="34"/>
        <v>-125</v>
      </c>
      <c r="Y65" s="2"/>
      <c r="Z65" s="6">
        <f t="shared" si="35"/>
        <v>-1</v>
      </c>
    </row>
    <row r="66" spans="1:26" s="28" customFormat="1" outlineLevel="1" collapsed="1" x14ac:dyDescent="0.25">
      <c r="A66" s="29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SUM(OSRRefD22_7x_0)</f>
        <v>1000</v>
      </c>
      <c r="E66" s="1"/>
      <c r="F66" s="5">
        <f t="shared" si="28"/>
        <v>2.658330143337162E-2</v>
      </c>
      <c r="G66" s="1"/>
      <c r="H66" s="1">
        <f>SUM(OSRRefH22_7x_0)</f>
        <v>1000</v>
      </c>
      <c r="I66" s="1"/>
      <c r="J66" s="5">
        <f t="shared" si="29"/>
        <v>2.7832669988031952E-2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SUM(OSRRefP22_7x_0)</f>
        <v>4000</v>
      </c>
      <c r="Q66" s="1"/>
      <c r="R66" s="5">
        <f t="shared" si="32"/>
        <v>2.9767226982621961E-3</v>
      </c>
      <c r="S66" s="1"/>
      <c r="T66" s="1">
        <f>SUM(OSRRefT22_7x_0)</f>
        <v>4000</v>
      </c>
      <c r="U66" s="1"/>
      <c r="V66" s="5">
        <f t="shared" si="33"/>
        <v>1.4345154457864337E-3</v>
      </c>
      <c r="W66" s="1"/>
      <c r="X66" s="1">
        <f t="shared" si="34"/>
        <v>0</v>
      </c>
      <c r="Y66" s="1"/>
      <c r="Z66" s="5">
        <f t="shared" si="35"/>
        <v>0</v>
      </c>
    </row>
    <row r="67" spans="1:26" s="24" customFormat="1" hidden="1" outlineLevel="2" x14ac:dyDescent="0.25">
      <c r="A67" s="27"/>
      <c r="B67" s="11" t="str">
        <f>CONCATENATE("          ", "6408", " - ", "INVENTORY ADJUSTMENT")</f>
        <v xml:space="preserve">          6408 - INVENTORY ADJUSTMENT</v>
      </c>
      <c r="C67" s="11"/>
      <c r="D67" s="7">
        <v>1000</v>
      </c>
      <c r="E67" s="2"/>
      <c r="F67" s="6">
        <f t="shared" si="28"/>
        <v>2.658330143337162E-2</v>
      </c>
      <c r="G67" s="2"/>
      <c r="H67" s="7">
        <v>1000</v>
      </c>
      <c r="I67" s="2"/>
      <c r="J67" s="6">
        <f t="shared" si="29"/>
        <v>2.7832669988031952E-2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>
        <v>4000</v>
      </c>
      <c r="Q67" s="2"/>
      <c r="R67" s="6">
        <f t="shared" si="32"/>
        <v>2.9767226982621961E-3</v>
      </c>
      <c r="S67" s="2"/>
      <c r="T67" s="7">
        <v>4000</v>
      </c>
      <c r="U67" s="2"/>
      <c r="V67" s="6">
        <f t="shared" si="33"/>
        <v>1.4345154457864337E-3</v>
      </c>
      <c r="W67" s="2"/>
      <c r="X67" s="7">
        <f t="shared" si="34"/>
        <v>0</v>
      </c>
      <c r="Y67" s="2"/>
      <c r="Z67" s="6">
        <f t="shared" si="35"/>
        <v>0</v>
      </c>
    </row>
    <row r="68" spans="1:26" s="28" customFormat="1" outlineLevel="1" collapsed="1" x14ac:dyDescent="0.25">
      <c r="A68" s="29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SUM(OSRRefD22_8x_0)</f>
        <v>2932.91</v>
      </c>
      <c r="E68" s="1"/>
      <c r="F68" s="5">
        <f t="shared" si="28"/>
        <v>7.7966430606949952E-2</v>
      </c>
      <c r="G68" s="1"/>
      <c r="H68" s="1">
        <f>SUM(OSRRefH22_8x_0)</f>
        <v>80</v>
      </c>
      <c r="I68" s="1"/>
      <c r="J68" s="5">
        <f t="shared" si="29"/>
        <v>2.2266135990425561E-3</v>
      </c>
      <c r="K68" s="1"/>
      <c r="L68" s="1">
        <f t="shared" si="30"/>
        <v>2852.91</v>
      </c>
      <c r="M68" s="1"/>
      <c r="N68" s="5">
        <f t="shared" si="31"/>
        <v>35.661375</v>
      </c>
      <c r="O68" s="14"/>
      <c r="P68" s="1">
        <f>SUM(OSRRefP22_8x_0)</f>
        <v>5833.44</v>
      </c>
      <c r="Q68" s="1"/>
      <c r="R68" s="5">
        <f t="shared" si="32"/>
        <v>4.3411333142376564E-3</v>
      </c>
      <c r="S68" s="1"/>
      <c r="T68" s="1">
        <f>SUM(OSRRefT22_8x_0)</f>
        <v>320</v>
      </c>
      <c r="U68" s="1"/>
      <c r="V68" s="5">
        <f t="shared" si="33"/>
        <v>1.1476123566291469E-4</v>
      </c>
      <c r="W68" s="1"/>
      <c r="X68" s="1">
        <f t="shared" si="34"/>
        <v>5513.44</v>
      </c>
      <c r="Y68" s="1"/>
      <c r="Z68" s="5">
        <f t="shared" si="35"/>
        <v>17.229499999999998</v>
      </c>
    </row>
    <row r="69" spans="1:26" s="24" customFormat="1" hidden="1" outlineLevel="2" x14ac:dyDescent="0.25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7">
        <v>2887.5</v>
      </c>
      <c r="E69" s="2"/>
      <c r="F69" s="6">
        <f t="shared" si="28"/>
        <v>7.6759282888860553E-2</v>
      </c>
      <c r="G69" s="2"/>
      <c r="H69" s="7"/>
      <c r="I69" s="2"/>
      <c r="J69" s="6">
        <f t="shared" si="29"/>
        <v>0</v>
      </c>
      <c r="K69" s="2"/>
      <c r="L69" s="7">
        <f t="shared" si="30"/>
        <v>2887.5</v>
      </c>
      <c r="M69" s="2"/>
      <c r="N69" s="6">
        <f t="shared" si="31"/>
        <v>0</v>
      </c>
      <c r="O69" s="11"/>
      <c r="P69" s="7">
        <v>5775</v>
      </c>
      <c r="Q69" s="2"/>
      <c r="R69" s="6">
        <f t="shared" si="32"/>
        <v>4.2976433956160463E-3</v>
      </c>
      <c r="S69" s="2"/>
      <c r="T69" s="7"/>
      <c r="U69" s="2"/>
      <c r="V69" s="6">
        <f t="shared" si="33"/>
        <v>0</v>
      </c>
      <c r="W69" s="2"/>
      <c r="X69" s="7">
        <f t="shared" si="34"/>
        <v>5775</v>
      </c>
      <c r="Y69" s="2"/>
      <c r="Z69" s="6">
        <f t="shared" si="35"/>
        <v>0</v>
      </c>
    </row>
    <row r="70" spans="1:26" s="24" customFormat="1" hidden="1" outlineLevel="2" x14ac:dyDescent="0.25">
      <c r="A70" s="27"/>
      <c r="B70" s="11" t="str">
        <f>CONCATENATE("          ", "6373", " - ", "MAINTENANCE CONTRACTS")</f>
        <v xml:space="preserve">          6373 - MAINTENANCE CONTRACTS</v>
      </c>
      <c r="C70" s="11"/>
      <c r="D70" s="7">
        <v>45.41</v>
      </c>
      <c r="E70" s="2"/>
      <c r="F70" s="6">
        <f t="shared" si="28"/>
        <v>1.2071477180894052E-3</v>
      </c>
      <c r="G70" s="2"/>
      <c r="H70" s="7">
        <v>40</v>
      </c>
      <c r="I70" s="2"/>
      <c r="J70" s="6">
        <f t="shared" si="29"/>
        <v>1.1133067995212781E-3</v>
      </c>
      <c r="K70" s="2"/>
      <c r="L70" s="7">
        <f t="shared" si="30"/>
        <v>5.4099999999999966</v>
      </c>
      <c r="M70" s="2"/>
      <c r="N70" s="6">
        <f t="shared" si="31"/>
        <v>0.13524999999999993</v>
      </c>
      <c r="O70" s="11"/>
      <c r="P70" s="7">
        <v>58.44</v>
      </c>
      <c r="Q70" s="2"/>
      <c r="R70" s="6">
        <f t="shared" si="32"/>
        <v>4.3489918621610688E-5</v>
      </c>
      <c r="S70" s="2"/>
      <c r="T70" s="7">
        <v>160</v>
      </c>
      <c r="U70" s="2"/>
      <c r="V70" s="6">
        <f t="shared" si="33"/>
        <v>5.7380617831457344E-5</v>
      </c>
      <c r="W70" s="2"/>
      <c r="X70" s="7">
        <f t="shared" si="34"/>
        <v>-101.56</v>
      </c>
      <c r="Y70" s="2"/>
      <c r="Z70" s="6">
        <f t="shared" si="35"/>
        <v>-0.63475000000000004</v>
      </c>
    </row>
    <row r="71" spans="1:26" s="24" customFormat="1" hidden="1" outlineLevel="2" x14ac:dyDescent="0.25">
      <c r="A71" s="27"/>
      <c r="B71" s="11" t="str">
        <f>CONCATENATE("          ", "6375", " - ", "OUTSIDE REPAIRS &amp; MAINTENANCE")</f>
        <v xml:space="preserve">          6375 - OUTSIDE REPAIRS &amp; MAINTENANCE</v>
      </c>
      <c r="C71" s="11"/>
      <c r="D71" s="7"/>
      <c r="E71" s="2"/>
      <c r="F71" s="6">
        <f t="shared" si="28"/>
        <v>0</v>
      </c>
      <c r="G71" s="2"/>
      <c r="H71" s="7">
        <v>40</v>
      </c>
      <c r="I71" s="2"/>
      <c r="J71" s="6">
        <f t="shared" si="29"/>
        <v>1.1133067995212781E-3</v>
      </c>
      <c r="K71" s="2"/>
      <c r="L71" s="7">
        <f t="shared" si="30"/>
        <v>-40</v>
      </c>
      <c r="M71" s="2"/>
      <c r="N71" s="6">
        <f t="shared" si="31"/>
        <v>-1</v>
      </c>
      <c r="O71" s="11"/>
      <c r="P71" s="7"/>
      <c r="Q71" s="2"/>
      <c r="R71" s="6">
        <f t="shared" si="32"/>
        <v>0</v>
      </c>
      <c r="S71" s="2"/>
      <c r="T71" s="7">
        <v>160</v>
      </c>
      <c r="U71" s="2"/>
      <c r="V71" s="6">
        <f t="shared" si="33"/>
        <v>5.7380617831457344E-5</v>
      </c>
      <c r="W71" s="2"/>
      <c r="X71" s="7">
        <f t="shared" si="34"/>
        <v>-160</v>
      </c>
      <c r="Y71" s="2"/>
      <c r="Z71" s="6">
        <f t="shared" si="35"/>
        <v>-1</v>
      </c>
    </row>
    <row r="72" spans="1:26" s="28" customFormat="1" outlineLevel="1" collapsed="1" x14ac:dyDescent="0.25">
      <c r="A72" s="29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SUM(OSRRefD22_9x_0)</f>
        <v>904.08</v>
      </c>
      <c r="E72" s="1"/>
      <c r="F72" s="5">
        <f t="shared" ref="F72:F76" si="36">IF(D$12=0,0,D72/D$12)</f>
        <v>2.4033431159882615E-2</v>
      </c>
      <c r="G72" s="1"/>
      <c r="H72" s="1">
        <f>SUM(OSRRefH22_9x_0)</f>
        <v>300</v>
      </c>
      <c r="I72" s="1"/>
      <c r="J72" s="5">
        <f t="shared" ref="J72:J76" si="37">IF(H$12=0,0,H72/H$12)</f>
        <v>8.349800996409586E-3</v>
      </c>
      <c r="K72" s="1"/>
      <c r="L72" s="1">
        <f t="shared" ref="L72:L76" si="38">+D72-H72</f>
        <v>604.08000000000004</v>
      </c>
      <c r="M72" s="1"/>
      <c r="N72" s="5">
        <f t="shared" ref="N72:N76" si="39">IF(H72=0,0,L72/H72)</f>
        <v>2.0136000000000003</v>
      </c>
      <c r="O72" s="14"/>
      <c r="P72" s="1">
        <f>SUM(OSRRefP22_9x_0)</f>
        <v>1076.8399999999999</v>
      </c>
      <c r="Q72" s="1"/>
      <c r="R72" s="5">
        <f t="shared" ref="R72:R76" si="40">IF(P$12=0,0,P72/P$12)</f>
        <v>8.0136351759916582E-4</v>
      </c>
      <c r="S72" s="1"/>
      <c r="T72" s="1">
        <f>SUM(OSRRefT22_9x_0)</f>
        <v>1200</v>
      </c>
      <c r="U72" s="1"/>
      <c r="V72" s="5">
        <f t="shared" ref="V72:V76" si="41">IF(T$12=0,0,T72/T$12)</f>
        <v>4.3035463373593009E-4</v>
      </c>
      <c r="W72" s="1"/>
      <c r="X72" s="1">
        <f t="shared" ref="X72:X76" si="42">+P72-T72</f>
        <v>-123.16000000000008</v>
      </c>
      <c r="Y72" s="1"/>
      <c r="Z72" s="5">
        <f t="shared" ref="Z72:Z76" si="43">IF(T72=0,0,X72/T72)</f>
        <v>-0.1026333333333334</v>
      </c>
    </row>
    <row r="73" spans="1:26" s="24" customFormat="1" hidden="1" outlineLevel="2" x14ac:dyDescent="0.25">
      <c r="A73" s="27"/>
      <c r="B73" s="11" t="str">
        <f>CONCATENATE("          ", "6258", " - ", "MEMBERSHIP DUES")</f>
        <v xml:space="preserve">          6258 - MEMBERSHIP DUES</v>
      </c>
      <c r="C73" s="11"/>
      <c r="D73" s="7">
        <v>904.08</v>
      </c>
      <c r="E73" s="2"/>
      <c r="F73" s="6">
        <f t="shared" si="36"/>
        <v>2.4033431159882615E-2</v>
      </c>
      <c r="G73" s="2"/>
      <c r="H73" s="7">
        <v>300</v>
      </c>
      <c r="I73" s="2"/>
      <c r="J73" s="6">
        <f t="shared" si="37"/>
        <v>8.349800996409586E-3</v>
      </c>
      <c r="K73" s="2"/>
      <c r="L73" s="7">
        <f t="shared" si="38"/>
        <v>604.08000000000004</v>
      </c>
      <c r="M73" s="2"/>
      <c r="N73" s="6">
        <f t="shared" si="39"/>
        <v>2.0136000000000003</v>
      </c>
      <c r="O73" s="11"/>
      <c r="P73" s="7">
        <v>1076.8399999999999</v>
      </c>
      <c r="Q73" s="2"/>
      <c r="R73" s="6">
        <f t="shared" si="40"/>
        <v>8.0136351759916582E-4</v>
      </c>
      <c r="S73" s="2"/>
      <c r="T73" s="7">
        <v>1200</v>
      </c>
      <c r="U73" s="2"/>
      <c r="V73" s="6">
        <f t="shared" si="41"/>
        <v>4.3035463373593009E-4</v>
      </c>
      <c r="W73" s="2"/>
      <c r="X73" s="7">
        <f t="shared" si="42"/>
        <v>-123.16000000000008</v>
      </c>
      <c r="Y73" s="2"/>
      <c r="Z73" s="6">
        <f t="shared" si="43"/>
        <v>-0.1026333333333334</v>
      </c>
    </row>
    <row r="74" spans="1:26" s="28" customFormat="1" outlineLevel="1" collapsed="1" x14ac:dyDescent="0.25">
      <c r="A74" s="29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SUM(OSRRefD22_10x_0)</f>
        <v>127.04</v>
      </c>
      <c r="E74" s="1"/>
      <c r="F74" s="5">
        <f t="shared" si="36"/>
        <v>3.3771426140955306E-3</v>
      </c>
      <c r="G74" s="1"/>
      <c r="H74" s="1">
        <f>SUM(OSRRefH22_10x_0)</f>
        <v>600</v>
      </c>
      <c r="I74" s="1"/>
      <c r="J74" s="5">
        <f t="shared" si="37"/>
        <v>1.6699601992819172E-2</v>
      </c>
      <c r="K74" s="1"/>
      <c r="L74" s="1">
        <f t="shared" si="38"/>
        <v>-472.96</v>
      </c>
      <c r="M74" s="1"/>
      <c r="N74" s="5">
        <f t="shared" si="39"/>
        <v>-0.78826666666666667</v>
      </c>
      <c r="O74" s="14"/>
      <c r="P74" s="1">
        <f>SUM(OSRRefP22_10x_0)</f>
        <v>736.93</v>
      </c>
      <c r="Q74" s="1"/>
      <c r="R74" s="5">
        <f t="shared" si="40"/>
        <v>5.4840906450759005E-4</v>
      </c>
      <c r="S74" s="1"/>
      <c r="T74" s="1">
        <f>SUM(OSRRefT22_10x_0)</f>
        <v>3000</v>
      </c>
      <c r="U74" s="1"/>
      <c r="V74" s="5">
        <f t="shared" si="41"/>
        <v>1.0758865843398253E-3</v>
      </c>
      <c r="W74" s="1"/>
      <c r="X74" s="1">
        <f t="shared" si="42"/>
        <v>-2263.0700000000002</v>
      </c>
      <c r="Y74" s="1"/>
      <c r="Z74" s="5">
        <f t="shared" si="43"/>
        <v>-0.75435666666666668</v>
      </c>
    </row>
    <row r="75" spans="1:26" s="24" customFormat="1" hidden="1" outlineLevel="2" x14ac:dyDescent="0.25">
      <c r="A75" s="27"/>
      <c r="B75" s="11" t="str">
        <f>CONCATENATE("          ", "6241", " - ", "OFFICE EXPENSE")</f>
        <v xml:space="preserve">          6241 - OFFICE EXPENSE</v>
      </c>
      <c r="C75" s="11"/>
      <c r="D75" s="7">
        <v>127.04</v>
      </c>
      <c r="E75" s="2"/>
      <c r="F75" s="6">
        <f t="shared" si="36"/>
        <v>3.3771426140955306E-3</v>
      </c>
      <c r="G75" s="2"/>
      <c r="H75" s="7">
        <v>300</v>
      </c>
      <c r="I75" s="2"/>
      <c r="J75" s="6">
        <f t="shared" si="37"/>
        <v>8.349800996409586E-3</v>
      </c>
      <c r="K75" s="2"/>
      <c r="L75" s="7">
        <f t="shared" si="38"/>
        <v>-172.95999999999998</v>
      </c>
      <c r="M75" s="2"/>
      <c r="N75" s="6">
        <f t="shared" si="39"/>
        <v>-0.57653333333333323</v>
      </c>
      <c r="O75" s="11"/>
      <c r="P75" s="7">
        <v>736.93</v>
      </c>
      <c r="Q75" s="2"/>
      <c r="R75" s="6">
        <f t="shared" si="40"/>
        <v>5.4840906450759005E-4</v>
      </c>
      <c r="S75" s="2"/>
      <c r="T75" s="7">
        <v>1500</v>
      </c>
      <c r="U75" s="2"/>
      <c r="V75" s="6">
        <f t="shared" si="41"/>
        <v>5.3794329216991265E-4</v>
      </c>
      <c r="W75" s="2"/>
      <c r="X75" s="7">
        <f t="shared" si="42"/>
        <v>-763.07</v>
      </c>
      <c r="Y75" s="2"/>
      <c r="Z75" s="6">
        <f t="shared" si="43"/>
        <v>-0.50871333333333335</v>
      </c>
    </row>
    <row r="76" spans="1:26" s="24" customFormat="1" hidden="1" outlineLevel="2" x14ac:dyDescent="0.25">
      <c r="A76" s="27"/>
      <c r="B76" s="11" t="str">
        <f>CONCATENATE("          ", "6247", " - ", "STORE SUPPLIES")</f>
        <v xml:space="preserve">          6247 - STORE SUPPLIES</v>
      </c>
      <c r="C76" s="11"/>
      <c r="D76" s="7"/>
      <c r="E76" s="2"/>
      <c r="F76" s="6">
        <f t="shared" si="36"/>
        <v>0</v>
      </c>
      <c r="G76" s="2"/>
      <c r="H76" s="7">
        <v>300</v>
      </c>
      <c r="I76" s="2"/>
      <c r="J76" s="6">
        <f t="shared" si="37"/>
        <v>8.349800996409586E-3</v>
      </c>
      <c r="K76" s="2"/>
      <c r="L76" s="7">
        <f t="shared" si="38"/>
        <v>-300</v>
      </c>
      <c r="M76" s="2"/>
      <c r="N76" s="6">
        <f t="shared" si="39"/>
        <v>-1</v>
      </c>
      <c r="O76" s="11"/>
      <c r="P76" s="7"/>
      <c r="Q76" s="2"/>
      <c r="R76" s="6">
        <f t="shared" si="40"/>
        <v>0</v>
      </c>
      <c r="S76" s="2"/>
      <c r="T76" s="7">
        <v>1500</v>
      </c>
      <c r="U76" s="2"/>
      <c r="V76" s="6">
        <f t="shared" si="41"/>
        <v>5.3794329216991265E-4</v>
      </c>
      <c r="W76" s="2"/>
      <c r="X76" s="7">
        <f t="shared" si="42"/>
        <v>-1500</v>
      </c>
      <c r="Y76" s="2"/>
      <c r="Z76" s="6">
        <f t="shared" si="43"/>
        <v>-1</v>
      </c>
    </row>
    <row r="77" spans="1:26" s="28" customFormat="1" outlineLevel="1" collapsed="1" x14ac:dyDescent="0.25">
      <c r="A77" s="29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SUM(OSRRefD22_11x_0)</f>
        <v>611.9</v>
      </c>
      <c r="E77" s="1"/>
      <c r="F77" s="5">
        <f t="shared" ref="F77:F79" si="44">IF(D$12=0,0,D77/D$12)</f>
        <v>1.6266322147080094E-2</v>
      </c>
      <c r="G77" s="1"/>
      <c r="H77" s="1">
        <f>SUM(OSRRefH22_11x_0)</f>
        <v>350</v>
      </c>
      <c r="I77" s="1"/>
      <c r="J77" s="5">
        <f t="shared" ref="J77:J79" si="45">IF(H$12=0,0,H77/H$12)</f>
        <v>9.741434495811184E-3</v>
      </c>
      <c r="K77" s="1"/>
      <c r="L77" s="1">
        <f t="shared" ref="L77:L79" si="46">+D77-H77</f>
        <v>261.89999999999998</v>
      </c>
      <c r="M77" s="1"/>
      <c r="N77" s="5">
        <f t="shared" ref="N77:N79" si="47">IF(H77=0,0,L77/H77)</f>
        <v>0.74828571428571422</v>
      </c>
      <c r="O77" s="14"/>
      <c r="P77" s="1">
        <f>SUM(OSRRefP22_11x_0)</f>
        <v>2455.0500000000002</v>
      </c>
      <c r="Q77" s="1"/>
      <c r="R77" s="5">
        <f t="shared" ref="R77:R79" si="48">IF(P$12=0,0,P77/P$12)</f>
        <v>1.8270007650921514E-3</v>
      </c>
      <c r="S77" s="1"/>
      <c r="T77" s="1">
        <f>SUM(OSRRefT22_11x_0)</f>
        <v>1750</v>
      </c>
      <c r="U77" s="1"/>
      <c r="V77" s="5">
        <f t="shared" ref="V77:V79" si="49">IF(T$12=0,0,T77/T$12)</f>
        <v>6.276005075315647E-4</v>
      </c>
      <c r="W77" s="1"/>
      <c r="X77" s="1">
        <f t="shared" ref="X77:X79" si="50">+P77-T77</f>
        <v>705.05000000000018</v>
      </c>
      <c r="Y77" s="1"/>
      <c r="Z77" s="5">
        <f t="shared" ref="Z77:Z79" si="51">IF(T77=0,0,X77/T77)</f>
        <v>0.4028857142857144</v>
      </c>
    </row>
    <row r="78" spans="1:26" s="24" customFormat="1" hidden="1" outlineLevel="2" x14ac:dyDescent="0.25">
      <c r="A78" s="27"/>
      <c r="B78" s="11" t="str">
        <f>CONCATENATE("          ", "6303", " - ", "DATA PHONE LINES")</f>
        <v xml:space="preserve">          6303 - DATA PHONE LINES</v>
      </c>
      <c r="C78" s="11"/>
      <c r="D78" s="7"/>
      <c r="E78" s="2"/>
      <c r="F78" s="6">
        <f t="shared" si="44"/>
        <v>0</v>
      </c>
      <c r="G78" s="2"/>
      <c r="H78" s="7">
        <v>0</v>
      </c>
      <c r="I78" s="2"/>
      <c r="J78" s="6">
        <f t="shared" si="45"/>
        <v>0</v>
      </c>
      <c r="K78" s="2"/>
      <c r="L78" s="7">
        <f t="shared" si="46"/>
        <v>0</v>
      </c>
      <c r="M78" s="2"/>
      <c r="N78" s="6">
        <f t="shared" si="47"/>
        <v>0</v>
      </c>
      <c r="O78" s="11"/>
      <c r="P78" s="7">
        <v>295</v>
      </c>
      <c r="Q78" s="2"/>
      <c r="R78" s="6">
        <f t="shared" si="48"/>
        <v>2.1953329899683697E-4</v>
      </c>
      <c r="S78" s="2"/>
      <c r="T78" s="7">
        <v>0</v>
      </c>
      <c r="U78" s="2"/>
      <c r="V78" s="6">
        <f t="shared" si="49"/>
        <v>0</v>
      </c>
      <c r="W78" s="2"/>
      <c r="X78" s="7">
        <f t="shared" si="50"/>
        <v>295</v>
      </c>
      <c r="Y78" s="2"/>
      <c r="Z78" s="6">
        <f t="shared" si="51"/>
        <v>0</v>
      </c>
    </row>
    <row r="79" spans="1:26" s="24" customFormat="1" hidden="1" outlineLevel="2" x14ac:dyDescent="0.25">
      <c r="A79" s="27"/>
      <c r="B79" s="11" t="str">
        <f>CONCATENATE("          ", "6309", " - ", "TELEPHONE")</f>
        <v xml:space="preserve">          6309 - TELEPHONE</v>
      </c>
      <c r="C79" s="11"/>
      <c r="D79" s="7">
        <v>611.9</v>
      </c>
      <c r="E79" s="2"/>
      <c r="F79" s="6">
        <f t="shared" si="44"/>
        <v>1.6266322147080094E-2</v>
      </c>
      <c r="G79" s="2"/>
      <c r="H79" s="7">
        <v>350</v>
      </c>
      <c r="I79" s="2"/>
      <c r="J79" s="6">
        <f t="shared" si="45"/>
        <v>9.741434495811184E-3</v>
      </c>
      <c r="K79" s="2"/>
      <c r="L79" s="7">
        <f t="shared" si="46"/>
        <v>261.89999999999998</v>
      </c>
      <c r="M79" s="2"/>
      <c r="N79" s="6">
        <f t="shared" si="47"/>
        <v>0.74828571428571422</v>
      </c>
      <c r="O79" s="11"/>
      <c r="P79" s="7">
        <v>2160.0500000000002</v>
      </c>
      <c r="Q79" s="2"/>
      <c r="R79" s="6">
        <f t="shared" si="48"/>
        <v>1.6074674660953145E-3</v>
      </c>
      <c r="S79" s="2"/>
      <c r="T79" s="7">
        <v>1750</v>
      </c>
      <c r="U79" s="2"/>
      <c r="V79" s="6">
        <f t="shared" si="49"/>
        <v>6.276005075315647E-4</v>
      </c>
      <c r="W79" s="2"/>
      <c r="X79" s="7">
        <f t="shared" si="50"/>
        <v>410.05000000000018</v>
      </c>
      <c r="Y79" s="2"/>
      <c r="Z79" s="6">
        <f t="shared" si="51"/>
        <v>0.23431428571428581</v>
      </c>
    </row>
    <row r="80" spans="1:26" s="60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collapsed="1" x14ac:dyDescent="0.25">
      <c r="A81" s="10"/>
      <c r="B81" s="25" t="s">
        <v>293</v>
      </c>
      <c r="C81" s="10"/>
      <c r="D81" s="4">
        <f>SUM(OSRRefD25x_0)</f>
        <v>1715.4099999999999</v>
      </c>
      <c r="E81" s="4"/>
      <c r="F81" s="12">
        <f t="shared" ref="F81:F85" si="52">IF(D$12=0,0,D81/D$12)</f>
        <v>4.5601261111820009E-2</v>
      </c>
      <c r="G81" s="4"/>
      <c r="H81" s="4">
        <f>SUM(OSRRefH25x_0)</f>
        <v>303</v>
      </c>
      <c r="I81" s="4"/>
      <c r="J81" s="12">
        <f t="shared" ref="J81:J85" si="53">IF(H$12=0,0,H81/H$12)</f>
        <v>8.4332990063736811E-3</v>
      </c>
      <c r="K81" s="4"/>
      <c r="L81" s="4">
        <f t="shared" ref="L81:L85" si="54">+D81-H81</f>
        <v>1412.4099999999999</v>
      </c>
      <c r="M81" s="4"/>
      <c r="N81" s="12">
        <f t="shared" ref="N81:N85" si="55">IF(H81=0,0,L81/H81)</f>
        <v>4.661419141914191</v>
      </c>
      <c r="O81" s="10"/>
      <c r="P81" s="4">
        <f>SUM(OSRRefP25x_0)</f>
        <v>189671.88999999998</v>
      </c>
      <c r="Q81" s="4"/>
      <c r="R81" s="12">
        <f t="shared" ref="R81:R85" si="56">IF(P$12=0,0,P81/P$12)</f>
        <v>0.14115015504632261</v>
      </c>
      <c r="S81" s="4"/>
      <c r="T81" s="4">
        <f>SUM(OSRRefT25x_0)</f>
        <v>178009.5</v>
      </c>
      <c r="U81" s="4"/>
      <c r="V81" s="12">
        <f t="shared" ref="V81:V85" si="57">IF(T$12=0,0,T81/T$12)</f>
        <v>6.3839344311680035E-2</v>
      </c>
      <c r="W81" s="4"/>
      <c r="X81" s="4">
        <f t="shared" ref="X81:X85" si="58">+P81-T81</f>
        <v>11662.389999999985</v>
      </c>
      <c r="Y81" s="4"/>
      <c r="Z81" s="12">
        <f t="shared" ref="Z81:Z85" si="59">IF(T81=0,0,X81/T81)</f>
        <v>6.5515548327476816E-2</v>
      </c>
    </row>
    <row r="82" spans="1:26" s="24" customFormat="1" hidden="1" outlineLevel="1" x14ac:dyDescent="0.25">
      <c r="A82" s="44"/>
      <c r="B82" s="11" t="str">
        <f>CONCATENATE("          ", "9150", " - ", "MISC. INCOME")</f>
        <v xml:space="preserve">          9150 - MISC. INCOME</v>
      </c>
      <c r="C82" s="11"/>
      <c r="D82" s="2">
        <f>--1458.11</f>
        <v>1458.11</v>
      </c>
      <c r="E82" s="2"/>
      <c r="F82" s="19">
        <f t="shared" si="52"/>
        <v>3.876137765301349E-2</v>
      </c>
      <c r="G82" s="2"/>
      <c r="H82" s="2">
        <v>303</v>
      </c>
      <c r="I82" s="2"/>
      <c r="J82" s="19">
        <f t="shared" si="53"/>
        <v>8.4332990063736811E-3</v>
      </c>
      <c r="K82" s="2"/>
      <c r="L82" s="2">
        <f t="shared" si="54"/>
        <v>1155.1099999999999</v>
      </c>
      <c r="M82" s="2"/>
      <c r="N82" s="19">
        <f t="shared" si="55"/>
        <v>3.8122442244224417</v>
      </c>
      <c r="O82" s="11"/>
      <c r="P82" s="2">
        <f>--19013.12</f>
        <v>19013.12</v>
      </c>
      <c r="Q82" s="2"/>
      <c r="R82" s="19">
        <f t="shared" si="56"/>
        <v>1.4149196467195731E-2</v>
      </c>
      <c r="S82" s="2"/>
      <c r="T82" s="2">
        <v>16029</v>
      </c>
      <c r="U82" s="2"/>
      <c r="V82" s="19">
        <f t="shared" si="57"/>
        <v>5.7484620201276862E-3</v>
      </c>
      <c r="W82" s="2"/>
      <c r="X82" s="2">
        <f t="shared" si="58"/>
        <v>2984.119999999999</v>
      </c>
      <c r="Y82" s="2"/>
      <c r="Z82" s="19">
        <f t="shared" si="59"/>
        <v>0.1861700667540083</v>
      </c>
    </row>
    <row r="83" spans="1:26" s="24" customFormat="1" hidden="1" outlineLevel="1" x14ac:dyDescent="0.25">
      <c r="A83" s="44"/>
      <c r="B83" s="11" t="str">
        <f>CONCATENATE("          ", "9151", " - ", "MISC. INCOME")</f>
        <v xml:space="preserve">          9151 - MISC. INCOME</v>
      </c>
      <c r="C83" s="11"/>
      <c r="D83" s="2">
        <f>0</f>
        <v>0</v>
      </c>
      <c r="E83" s="2"/>
      <c r="F83" s="19">
        <f t="shared" si="52"/>
        <v>0</v>
      </c>
      <c r="G83" s="2"/>
      <c r="H83" s="2"/>
      <c r="I83" s="2"/>
      <c r="J83" s="19">
        <f t="shared" si="53"/>
        <v>0</v>
      </c>
      <c r="K83" s="2"/>
      <c r="L83" s="2">
        <f t="shared" si="54"/>
        <v>0</v>
      </c>
      <c r="M83" s="2"/>
      <c r="N83" s="19">
        <f t="shared" si="55"/>
        <v>0</v>
      </c>
      <c r="O83" s="11"/>
      <c r="P83" s="2">
        <f>--168463.36</f>
        <v>168463.35999999999</v>
      </c>
      <c r="Q83" s="2"/>
      <c r="R83" s="19">
        <f t="shared" si="56"/>
        <v>0.12536717688437893</v>
      </c>
      <c r="S83" s="2"/>
      <c r="T83" s="2">
        <v>161980.5</v>
      </c>
      <c r="U83" s="2"/>
      <c r="V83" s="19">
        <f t="shared" si="57"/>
        <v>5.8090882291552355E-2</v>
      </c>
      <c r="W83" s="2"/>
      <c r="X83" s="2">
        <f t="shared" si="58"/>
        <v>6482.859999999986</v>
      </c>
      <c r="Y83" s="2"/>
      <c r="Z83" s="19">
        <f t="shared" si="59"/>
        <v>4.0022471840746178E-2</v>
      </c>
    </row>
    <row r="84" spans="1:26" s="24" customFormat="1" hidden="1" outlineLevel="1" x14ac:dyDescent="0.25">
      <c r="A84" s="44"/>
      <c r="B84" s="11" t="str">
        <f>CONCATENATE("          ", "9152", " - ", "MISC. INCOME")</f>
        <v xml:space="preserve">          9152 - MISC. INCOME</v>
      </c>
      <c r="C84" s="11"/>
      <c r="D84" s="2">
        <f>--257.3</f>
        <v>257.3</v>
      </c>
      <c r="E84" s="2"/>
      <c r="F84" s="19">
        <f t="shared" si="52"/>
        <v>6.8398834588065177E-3</v>
      </c>
      <c r="G84" s="2"/>
      <c r="H84" s="2"/>
      <c r="I84" s="2"/>
      <c r="J84" s="19">
        <f t="shared" si="53"/>
        <v>0</v>
      </c>
      <c r="K84" s="2"/>
      <c r="L84" s="2">
        <f t="shared" si="54"/>
        <v>257.3</v>
      </c>
      <c r="M84" s="2"/>
      <c r="N84" s="19">
        <f t="shared" si="55"/>
        <v>0</v>
      </c>
      <c r="O84" s="11"/>
      <c r="P84" s="2">
        <f>--2195.41</f>
        <v>2195.41</v>
      </c>
      <c r="Q84" s="2"/>
      <c r="R84" s="19">
        <f t="shared" si="56"/>
        <v>1.633781694747952E-3</v>
      </c>
      <c r="S84" s="2"/>
      <c r="T84" s="2"/>
      <c r="U84" s="2"/>
      <c r="V84" s="19">
        <f t="shared" si="57"/>
        <v>0</v>
      </c>
      <c r="W84" s="2"/>
      <c r="X84" s="2">
        <f t="shared" si="58"/>
        <v>2195.41</v>
      </c>
      <c r="Y84" s="2"/>
      <c r="Z84" s="19">
        <f t="shared" si="59"/>
        <v>0</v>
      </c>
    </row>
    <row r="85" spans="1:26" s="24" customFormat="1" hidden="1" outlineLevel="1" x14ac:dyDescent="0.25">
      <c r="A85" s="44"/>
      <c r="B85" s="11" t="str">
        <f>CONCATENATE("          ", "9160", " - ", "MISC. INCOME")</f>
        <v xml:space="preserve">          9160 - MISC. INCOME</v>
      </c>
      <c r="C85" s="11"/>
      <c r="D85" s="2">
        <f>0</f>
        <v>0</v>
      </c>
      <c r="E85" s="2"/>
      <c r="F85" s="19">
        <f t="shared" si="52"/>
        <v>0</v>
      </c>
      <c r="G85" s="2"/>
      <c r="H85" s="2">
        <v>0</v>
      </c>
      <c r="I85" s="2"/>
      <c r="J85" s="19">
        <f t="shared" si="53"/>
        <v>0</v>
      </c>
      <c r="K85" s="2"/>
      <c r="L85" s="2">
        <f t="shared" si="54"/>
        <v>0</v>
      </c>
      <c r="M85" s="2"/>
      <c r="N85" s="19">
        <f t="shared" si="55"/>
        <v>0</v>
      </c>
      <c r="O85" s="11"/>
      <c r="P85" s="2">
        <f>0</f>
        <v>0</v>
      </c>
      <c r="Q85" s="2"/>
      <c r="R85" s="19">
        <f t="shared" si="56"/>
        <v>0</v>
      </c>
      <c r="S85" s="2"/>
      <c r="T85" s="2">
        <v>0</v>
      </c>
      <c r="U85" s="2"/>
      <c r="V85" s="19">
        <f t="shared" si="57"/>
        <v>0</v>
      </c>
      <c r="W85" s="2"/>
      <c r="X85" s="2">
        <f t="shared" si="58"/>
        <v>0</v>
      </c>
      <c r="Y85" s="2"/>
      <c r="Z85" s="19">
        <f t="shared" si="59"/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6" t="s">
        <v>277</v>
      </c>
      <c r="C87" s="26"/>
      <c r="D87" s="21">
        <f>+D31-D33+D81</f>
        <v>-32442.450000000044</v>
      </c>
      <c r="E87" s="13"/>
      <c r="F87" s="20">
        <f>IF(D$12=0,0,D87/D$12)</f>
        <v>-0.86242742758708824</v>
      </c>
      <c r="G87" s="13"/>
      <c r="H87" s="21">
        <f>+H31-H33+H81</f>
        <v>-43298.137548737199</v>
      </c>
      <c r="I87" s="13"/>
      <c r="J87" s="20">
        <f>IF(H$12=0,0,H87/H$12)</f>
        <v>-1.2051027734904172</v>
      </c>
      <c r="K87" s="15"/>
      <c r="L87" s="21">
        <f>+D87-H87</f>
        <v>10855.687548737154</v>
      </c>
      <c r="M87" s="15"/>
      <c r="N87" s="20">
        <f>IF(H87=0,0,L87/H87)</f>
        <v>-0.25071950350099442</v>
      </c>
      <c r="O87" s="25"/>
      <c r="P87" s="21">
        <f>+P31-P33+P81</f>
        <v>244248.29000000044</v>
      </c>
      <c r="Q87" s="13"/>
      <c r="R87" s="20">
        <f>IF(P$12=0,0,P87/P$12)</f>
        <v>0.18176485721368218</v>
      </c>
      <c r="S87" s="13"/>
      <c r="T87" s="21">
        <f>+T31-T33+T81</f>
        <v>725105.8596045461</v>
      </c>
      <c r="U87" s="13"/>
      <c r="V87" s="20">
        <f>IF(T$12=0,0,T87/T$12)</f>
        <v>0.26004388885824264</v>
      </c>
      <c r="W87" s="15"/>
      <c r="X87" s="21">
        <f>+P87-T87</f>
        <v>-480857.56960454566</v>
      </c>
      <c r="Y87" s="15"/>
      <c r="Z87" s="20">
        <f>IF(T87=0,0,X87/T87)</f>
        <v>-0.66315499073030926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128</v>
      </c>
      <c r="C89" s="10"/>
      <c r="D89" s="4">
        <v>-6341.03</v>
      </c>
      <c r="E89" s="4"/>
      <c r="F89" s="12">
        <f>IF(D$12=0,0,D89/D$12)</f>
        <v>-0.16856551188805244</v>
      </c>
      <c r="G89" s="4"/>
      <c r="H89" s="4">
        <v>21764</v>
      </c>
      <c r="I89" s="4"/>
      <c r="J89" s="12">
        <f>IF(H$12=0,0,H89/H$12)</f>
        <v>0.6057502296195274</v>
      </c>
      <c r="K89" s="4"/>
      <c r="L89" s="4">
        <f>+D89-H89</f>
        <v>-28105.03</v>
      </c>
      <c r="M89" s="4"/>
      <c r="N89" s="12">
        <f>IF(H89=0,0,L89/H89)</f>
        <v>-1.2913540709428413</v>
      </c>
      <c r="O89" s="10"/>
      <c r="P89" s="4">
        <v>155327.51999999999</v>
      </c>
      <c r="Q89" s="4"/>
      <c r="R89" s="12">
        <f>IF(P$12=0,0,P89/P$12)</f>
        <v>0.11559173861219381</v>
      </c>
      <c r="S89" s="4"/>
      <c r="T89" s="4">
        <v>320639</v>
      </c>
      <c r="U89" s="4"/>
      <c r="V89" s="12">
        <f>IF(T$12=0,0,T89/T$12)</f>
        <v>0.11499039950537908</v>
      </c>
      <c r="W89" s="4"/>
      <c r="X89" s="4">
        <f>+P89-T89</f>
        <v>-165311.48000000001</v>
      </c>
      <c r="Y89" s="4"/>
      <c r="Z89" s="12">
        <f>IF(T89=0,0,X89/T89)</f>
        <v>-0.51556884845574003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6" t="s">
        <v>126</v>
      </c>
      <c r="C91" s="26"/>
      <c r="D91" s="31">
        <f>+D87-D89</f>
        <v>-26101.420000000046</v>
      </c>
      <c r="E91" s="13"/>
      <c r="F91" s="33">
        <f>IF(D$12=0,0,D91/D$12)</f>
        <v>-0.69386191569903588</v>
      </c>
      <c r="G91" s="13"/>
      <c r="H91" s="31">
        <f>+H87-H89</f>
        <v>-65062.137548737199</v>
      </c>
      <c r="I91" s="13"/>
      <c r="J91" s="33">
        <f>IF(H$12=0,0,H91/H$12)</f>
        <v>-1.8108530031099446</v>
      </c>
      <c r="K91" s="15"/>
      <c r="L91" s="31">
        <f>D91-H91</f>
        <v>38960.717548737157</v>
      </c>
      <c r="M91" s="15"/>
      <c r="N91" s="33">
        <f>IF(H91=0,0,L91/H91)</f>
        <v>-0.59882320219731777</v>
      </c>
      <c r="O91" s="25"/>
      <c r="P91" s="31">
        <f>+P87-P89</f>
        <v>88920.770000000455</v>
      </c>
      <c r="Q91" s="13"/>
      <c r="R91" s="33">
        <f>IF(P$12=0,0,P91/P$12)</f>
        <v>6.6173118601488376E-2</v>
      </c>
      <c r="S91" s="13"/>
      <c r="T91" s="31">
        <f>+T87-T89</f>
        <v>404466.8596045461</v>
      </c>
      <c r="U91" s="13"/>
      <c r="V91" s="33">
        <f>IF(T$12=0,0,T91/T$12)</f>
        <v>0.14505348935286358</v>
      </c>
      <c r="W91" s="15"/>
      <c r="X91" s="31">
        <f>P91-T91</f>
        <v>-315546.08960454562</v>
      </c>
      <c r="Y91" s="15"/>
      <c r="Z91" s="33">
        <f>IF(T91=0,0,X91/T91)</f>
        <v>-0.78015313767130445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6" t="s">
        <v>294</v>
      </c>
      <c r="C94" s="26"/>
      <c r="D94" s="35">
        <f>SUM(D91:D93)</f>
        <v>-26101.420000000046</v>
      </c>
      <c r="E94" s="13"/>
      <c r="F94" s="32">
        <f>IF(D$12=0,0,D94/D$12)</f>
        <v>-0.69386191569903588</v>
      </c>
      <c r="G94" s="13"/>
      <c r="H94" s="35">
        <f>SUM(H91:H93)</f>
        <v>-65062.137548737199</v>
      </c>
      <c r="I94" s="13"/>
      <c r="J94" s="32">
        <f>IF(H$12=0,0,H94/H$12)</f>
        <v>-1.8108530031099446</v>
      </c>
      <c r="K94" s="15"/>
      <c r="L94" s="35">
        <f>+D94-H94</f>
        <v>38960.717548737157</v>
      </c>
      <c r="M94" s="15"/>
      <c r="N94" s="32">
        <f>IF(H94=0,0,L94/H94)</f>
        <v>-0.59882320219731777</v>
      </c>
      <c r="O94" s="25"/>
      <c r="P94" s="35">
        <f>SUM(P91:P93)</f>
        <v>88920.770000000455</v>
      </c>
      <c r="Q94" s="13"/>
      <c r="R94" s="32">
        <f>IF(P$12=0,0,P94/P$12)</f>
        <v>6.6173118601488376E-2</v>
      </c>
      <c r="S94" s="13"/>
      <c r="T94" s="35">
        <f>SUM(T91:T93)</f>
        <v>404466.8596045461</v>
      </c>
      <c r="U94" s="13"/>
      <c r="V94" s="32">
        <f>IF(T$12=0,0,T94/T$12)</f>
        <v>0.14505348935286358</v>
      </c>
      <c r="W94" s="15"/>
      <c r="X94" s="35">
        <f>+P94-T94</f>
        <v>-315546.08960454562</v>
      </c>
      <c r="Y94" s="15"/>
      <c r="Z94" s="32">
        <f>IF(T94=0,0,X94/T94)</f>
        <v>-0.78015313767130445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9">
        <v>44517.962841666667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62" t="s">
        <v>56</v>
      </c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7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","311", " - ", "Textbooks")</f>
        <v>Department 311 - Textbooks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34739.469999999994</v>
      </c>
      <c r="E12" s="4"/>
      <c r="F12" s="12"/>
      <c r="G12" s="4"/>
      <c r="H12" s="4">
        <f>SUM(OSRRefH13x_0)</f>
        <v>31430</v>
      </c>
      <c r="I12" s="4"/>
      <c r="J12" s="12"/>
      <c r="K12" s="4"/>
      <c r="L12" s="4">
        <f t="shared" ref="L12:L17" si="0">+D12-H12</f>
        <v>3309.4699999999939</v>
      </c>
      <c r="M12" s="4"/>
      <c r="N12" s="12">
        <f t="shared" ref="N12:N17" si="1">IF(H12=0,0,L12/H12)</f>
        <v>0.10529653197581909</v>
      </c>
      <c r="O12" s="10"/>
      <c r="P12" s="4">
        <f>SUM(OSRRefP13x_0)</f>
        <v>1008112.1599999999</v>
      </c>
      <c r="Q12" s="4"/>
      <c r="R12" s="12"/>
      <c r="S12" s="4"/>
      <c r="T12" s="4">
        <f>SUM(OSRRefT13x_0)</f>
        <v>1872300</v>
      </c>
      <c r="U12" s="4"/>
      <c r="V12" s="12"/>
      <c r="W12" s="4"/>
      <c r="X12" s="4">
        <f t="shared" ref="X12:X17" si="2">+P12-T12</f>
        <v>-864187.84000000008</v>
      </c>
      <c r="Y12" s="4"/>
      <c r="Z12" s="12">
        <f t="shared" ref="Z12:Z17" si="3">IF(T12=0,0,X12/T12)</f>
        <v>-0.46156483469529458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--24053.59</f>
        <v>24053.59</v>
      </c>
      <c r="E13" s="2"/>
      <c r="F13" s="19"/>
      <c r="G13" s="2"/>
      <c r="H13" s="2">
        <v>31430</v>
      </c>
      <c r="I13" s="2"/>
      <c r="J13" s="19"/>
      <c r="K13" s="2"/>
      <c r="L13" s="2">
        <f t="shared" si="0"/>
        <v>-7376.41</v>
      </c>
      <c r="M13" s="2"/>
      <c r="N13" s="19">
        <f t="shared" si="1"/>
        <v>-0.23469328666878778</v>
      </c>
      <c r="O13" s="11"/>
      <c r="P13" s="2">
        <f>--769988.84</f>
        <v>769988.84</v>
      </c>
      <c r="Q13" s="2"/>
      <c r="R13" s="19"/>
      <c r="S13" s="2"/>
      <c r="T13" s="2">
        <v>1872300</v>
      </c>
      <c r="U13" s="2"/>
      <c r="V13" s="19"/>
      <c r="W13" s="2"/>
      <c r="X13" s="2">
        <f t="shared" si="2"/>
        <v>-1102311.1600000001</v>
      </c>
      <c r="Y13" s="2"/>
      <c r="Z13" s="19">
        <f t="shared" si="3"/>
        <v>-0.58874708113016083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--21004.56</f>
        <v>21004.560000000001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21004.560000000001</v>
      </c>
      <c r="M14" s="2"/>
      <c r="N14" s="19">
        <f t="shared" si="1"/>
        <v>0</v>
      </c>
      <c r="O14" s="11"/>
      <c r="P14" s="2">
        <f>--291894.34</f>
        <v>291894.34000000003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291894.34000000003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-4428.05</f>
        <v>-4428.05</v>
      </c>
      <c r="E15" s="2"/>
      <c r="F15" s="19"/>
      <c r="G15" s="2"/>
      <c r="H15" s="2"/>
      <c r="I15" s="2"/>
      <c r="J15" s="19"/>
      <c r="K15" s="2"/>
      <c r="L15" s="2">
        <f t="shared" si="0"/>
        <v>-4428.05</v>
      </c>
      <c r="M15" s="2"/>
      <c r="N15" s="19">
        <f t="shared" si="1"/>
        <v>0</v>
      </c>
      <c r="O15" s="11"/>
      <c r="P15" s="2">
        <f>-28333.13</f>
        <v>-28333.13</v>
      </c>
      <c r="Q15" s="2"/>
      <c r="R15" s="19"/>
      <c r="S15" s="2"/>
      <c r="T15" s="2"/>
      <c r="U15" s="2"/>
      <c r="V15" s="19"/>
      <c r="W15" s="2"/>
      <c r="X15" s="2">
        <f t="shared" si="2"/>
        <v>-28333.13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"4300", " - ", "NON-TAX RETURNS")</f>
        <v xml:space="preserve">          4300 - NON-TAX RETURNS</v>
      </c>
      <c r="C16" s="11"/>
      <c r="D16" s="2">
        <f>-5357.9</f>
        <v>-5357.9</v>
      </c>
      <c r="E16" s="2"/>
      <c r="F16" s="19"/>
      <c r="G16" s="2"/>
      <c r="H16" s="2"/>
      <c r="I16" s="2"/>
      <c r="J16" s="19"/>
      <c r="K16" s="2"/>
      <c r="L16" s="2">
        <f t="shared" si="0"/>
        <v>-5357.9</v>
      </c>
      <c r="M16" s="2"/>
      <c r="N16" s="19">
        <f t="shared" si="1"/>
        <v>0</v>
      </c>
      <c r="O16" s="11"/>
      <c r="P16" s="2">
        <f>-24905.16</f>
        <v>-24905.16</v>
      </c>
      <c r="Q16" s="2"/>
      <c r="R16" s="19"/>
      <c r="S16" s="2"/>
      <c r="T16" s="2"/>
      <c r="U16" s="2"/>
      <c r="V16" s="19"/>
      <c r="W16" s="2"/>
      <c r="X16" s="2">
        <f t="shared" si="2"/>
        <v>-24905.16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"4500", " - ", "SALES DISCOUNT")</f>
        <v xml:space="preserve">          4500 - SALES DISCOUNT</v>
      </c>
      <c r="C17" s="11"/>
      <c r="D17" s="2">
        <f>-532.73</f>
        <v>-532.73</v>
      </c>
      <c r="E17" s="2"/>
      <c r="F17" s="19"/>
      <c r="G17" s="2"/>
      <c r="H17" s="2"/>
      <c r="I17" s="2"/>
      <c r="J17" s="19"/>
      <c r="K17" s="2"/>
      <c r="L17" s="2">
        <f t="shared" si="0"/>
        <v>-532.73</v>
      </c>
      <c r="M17" s="2"/>
      <c r="N17" s="19">
        <f t="shared" si="1"/>
        <v>0</v>
      </c>
      <c r="O17" s="11"/>
      <c r="P17" s="2">
        <f>-532.73</f>
        <v>-532.73</v>
      </c>
      <c r="Q17" s="2"/>
      <c r="R17" s="19"/>
      <c r="S17" s="2"/>
      <c r="T17" s="2"/>
      <c r="U17" s="2"/>
      <c r="V17" s="19"/>
      <c r="W17" s="2"/>
      <c r="X17" s="2">
        <f t="shared" si="2"/>
        <v>-532.73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5" t="s">
        <v>257</v>
      </c>
      <c r="C19" s="10"/>
      <c r="D19" s="4">
        <f>SUM(OSRRefD16x_0)</f>
        <v>21877.63</v>
      </c>
      <c r="E19" s="4"/>
      <c r="F19" s="12">
        <f t="shared" ref="F19:F29" si="4">IF(D$12=0,0,D19/D$12)</f>
        <v>0.62976291808712126</v>
      </c>
      <c r="G19" s="4"/>
      <c r="H19" s="4">
        <f>SUM(OSRRefH16x_0)</f>
        <v>22708</v>
      </c>
      <c r="I19" s="4"/>
      <c r="J19" s="12">
        <f t="shared" ref="J19:J29" si="5">IF(H$12=0,0,H19/H$12)</f>
        <v>0.72249443207126951</v>
      </c>
      <c r="K19" s="4"/>
      <c r="L19" s="4">
        <f t="shared" ref="L19:L29" si="6">+D19-H19</f>
        <v>-830.36999999999898</v>
      </c>
      <c r="M19" s="4"/>
      <c r="N19" s="12">
        <f t="shared" ref="N19:N29" si="7">IF(H19=0,0,L19/H19)</f>
        <v>-3.6567289061123789E-2</v>
      </c>
      <c r="O19" s="10"/>
      <c r="P19" s="4">
        <f>SUM(OSRRefP16x_0)</f>
        <v>843417.87</v>
      </c>
      <c r="Q19" s="4"/>
      <c r="R19" s="12">
        <f t="shared" ref="R19:R29" si="8">IF(P$12=0,0,P19/P$12)</f>
        <v>0.83663098558398508</v>
      </c>
      <c r="S19" s="4"/>
      <c r="T19" s="4">
        <f>SUM(OSRRefT16x_0)</f>
        <v>1352736</v>
      </c>
      <c r="U19" s="4"/>
      <c r="V19" s="12">
        <f t="shared" ref="V19:V29" si="9">IF(T$12=0,0,T19/T$12)</f>
        <v>0.72249959942316933</v>
      </c>
      <c r="W19" s="4"/>
      <c r="X19" s="4">
        <f t="shared" ref="X19:X29" si="10">+P19-T19</f>
        <v>-509318.13</v>
      </c>
      <c r="Y19" s="4"/>
      <c r="Z19" s="12">
        <f t="shared" ref="Z19:Z29" si="11">IF(T19=0,0,X19/T19)</f>
        <v>-0.37650962937335891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273844.96999999997</v>
      </c>
      <c r="E20" s="2"/>
      <c r="F20" s="19">
        <f t="shared" si="4"/>
        <v>7.8828194557948068</v>
      </c>
      <c r="G20" s="2"/>
      <c r="H20" s="2">
        <v>22708</v>
      </c>
      <c r="I20" s="2"/>
      <c r="J20" s="19">
        <f t="shared" si="5"/>
        <v>0.72249443207126951</v>
      </c>
      <c r="K20" s="2"/>
      <c r="L20" s="2">
        <f t="shared" si="6"/>
        <v>251136.96999999997</v>
      </c>
      <c r="M20" s="2"/>
      <c r="N20" s="19">
        <f t="shared" si="7"/>
        <v>11.059405055487051</v>
      </c>
      <c r="O20" s="11"/>
      <c r="P20" s="2">
        <v>1290391.81</v>
      </c>
      <c r="Q20" s="2"/>
      <c r="R20" s="19">
        <f t="shared" si="8"/>
        <v>1.2800081788518454</v>
      </c>
      <c r="S20" s="2"/>
      <c r="T20" s="2">
        <v>1352736</v>
      </c>
      <c r="U20" s="2"/>
      <c r="V20" s="19">
        <f t="shared" si="9"/>
        <v>0.72249959942316933</v>
      </c>
      <c r="W20" s="2"/>
      <c r="X20" s="2">
        <f t="shared" si="10"/>
        <v>-62344.189999999944</v>
      </c>
      <c r="Y20" s="2"/>
      <c r="Z20" s="19">
        <f t="shared" si="11"/>
        <v>-4.6087477527026667E-2</v>
      </c>
    </row>
    <row r="21" spans="1:26" s="24" customFormat="1" hidden="1" outlineLevel="1" x14ac:dyDescent="0.25">
      <c r="A21" s="44"/>
      <c r="B21" s="11" t="str">
        <f>CONCATENATE("          ", "5001", " - ", "PURCHASES @ COST-NEW TEXT")</f>
        <v xml:space="preserve">          5001 - PURCHASES @ COST-NEW TEXT</v>
      </c>
      <c r="C21" s="11"/>
      <c r="D21" s="2">
        <v>0</v>
      </c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"5002", " - ", "PURCHASES @ COST-USED TEXT")</f>
        <v xml:space="preserve">          5002 - PURCHASES @ COST-USED TEXT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"5004", " - ", "PURCHASES @ COST-DIGITAL TEXT")</f>
        <v xml:space="preserve">          5004 - PURCHASES @ COST-DIGITAL TEXT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"5200", " - ", "PURCHASES OFFSET")</f>
        <v xml:space="preserve">          5200 - PURCHASES OFFSET</v>
      </c>
      <c r="C24" s="11"/>
      <c r="D24" s="2">
        <v>-290158.21999999997</v>
      </c>
      <c r="E24" s="2"/>
      <c r="F24" s="19">
        <f t="shared" si="4"/>
        <v>-8.3524077943618611</v>
      </c>
      <c r="G24" s="2"/>
      <c r="H24" s="2"/>
      <c r="I24" s="2"/>
      <c r="J24" s="19">
        <f t="shared" si="5"/>
        <v>0</v>
      </c>
      <c r="K24" s="2"/>
      <c r="L24" s="2">
        <f t="shared" si="6"/>
        <v>-290158.21999999997</v>
      </c>
      <c r="M24" s="2"/>
      <c r="N24" s="19">
        <f t="shared" si="7"/>
        <v>0</v>
      </c>
      <c r="O24" s="11"/>
      <c r="P24" s="2">
        <v>-1326529.8600000001</v>
      </c>
      <c r="Q24" s="2"/>
      <c r="R24" s="19">
        <f t="shared" si="8"/>
        <v>-1.3158554302132415</v>
      </c>
      <c r="S24" s="2"/>
      <c r="T24" s="2"/>
      <c r="U24" s="2"/>
      <c r="V24" s="19">
        <f t="shared" si="9"/>
        <v>0</v>
      </c>
      <c r="W24" s="2"/>
      <c r="X24" s="2">
        <f t="shared" si="10"/>
        <v>-1326529.8600000001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"5300", " - ", "COG$ OFFSET")</f>
        <v xml:space="preserve">          5300 - COG$ OFFSET</v>
      </c>
      <c r="C25" s="11"/>
      <c r="D25" s="2">
        <v>21877.63</v>
      </c>
      <c r="E25" s="2"/>
      <c r="F25" s="19">
        <f t="shared" si="4"/>
        <v>0.62976291808712126</v>
      </c>
      <c r="G25" s="2"/>
      <c r="H25" s="2"/>
      <c r="I25" s="2"/>
      <c r="J25" s="19">
        <f t="shared" si="5"/>
        <v>0</v>
      </c>
      <c r="K25" s="2"/>
      <c r="L25" s="2">
        <f t="shared" si="6"/>
        <v>21877.63</v>
      </c>
      <c r="M25" s="2"/>
      <c r="N25" s="19">
        <f t="shared" si="7"/>
        <v>0</v>
      </c>
      <c r="O25" s="11"/>
      <c r="P25" s="2">
        <v>843417.87</v>
      </c>
      <c r="Q25" s="2"/>
      <c r="R25" s="19">
        <f t="shared" si="8"/>
        <v>0.83663098558398508</v>
      </c>
      <c r="S25" s="2"/>
      <c r="T25" s="2"/>
      <c r="U25" s="2"/>
      <c r="V25" s="19">
        <f t="shared" si="9"/>
        <v>0</v>
      </c>
      <c r="W25" s="2"/>
      <c r="X25" s="2">
        <f t="shared" si="10"/>
        <v>843417.87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"5500", " - ", "FREIGHT-IN")</f>
        <v xml:space="preserve">          5500 - FREIGHT-IN</v>
      </c>
      <c r="C26" s="11"/>
      <c r="D26" s="2">
        <v>16313.25</v>
      </c>
      <c r="E26" s="2"/>
      <c r="F26" s="19">
        <f t="shared" si="4"/>
        <v>0.46958833856705362</v>
      </c>
      <c r="G26" s="2"/>
      <c r="H26" s="2"/>
      <c r="I26" s="2"/>
      <c r="J26" s="19">
        <f t="shared" si="5"/>
        <v>0</v>
      </c>
      <c r="K26" s="2"/>
      <c r="L26" s="2">
        <f t="shared" si="6"/>
        <v>16313.25</v>
      </c>
      <c r="M26" s="2"/>
      <c r="N26" s="19">
        <f t="shared" si="7"/>
        <v>0</v>
      </c>
      <c r="O26" s="11"/>
      <c r="P26" s="2">
        <v>36138.050000000003</v>
      </c>
      <c r="Q26" s="2"/>
      <c r="R26" s="19">
        <f t="shared" si="8"/>
        <v>3.5847251361396146E-2</v>
      </c>
      <c r="S26" s="2"/>
      <c r="T26" s="2"/>
      <c r="U26" s="2"/>
      <c r="V26" s="19">
        <f t="shared" si="9"/>
        <v>0</v>
      </c>
      <c r="W26" s="2"/>
      <c r="X26" s="2">
        <f t="shared" si="10"/>
        <v>36138.050000000003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"5501", " - ", "FREIGHT-IN-NEW TEXT")</f>
        <v xml:space="preserve">          5501 - FREIGHT-IN-NEW TEXT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"5502", " - ", "FREIGHT-IN-USED TEXT")</f>
        <v xml:space="preserve">          5502 - FREIGHT-IN-USED TEXT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"5518", " - ", "FREIGHT-IN-STUDY GUIDES")</f>
        <v xml:space="preserve">          5518 - FREIGHT-IN-STUDY GUIDES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6" t="s">
        <v>108</v>
      </c>
      <c r="C31" s="26"/>
      <c r="D31" s="21">
        <f>D12-D19</f>
        <v>12861.839999999993</v>
      </c>
      <c r="E31" s="13"/>
      <c r="F31" s="20">
        <f>IF(D$12=0,0,D31/D$12)</f>
        <v>0.3702370819128788</v>
      </c>
      <c r="G31" s="13"/>
      <c r="H31" s="21">
        <f>H12-H19</f>
        <v>8722</v>
      </c>
      <c r="I31" s="13"/>
      <c r="J31" s="20">
        <f>IF(H$12=0,0,H31/H$12)</f>
        <v>0.27750556792873049</v>
      </c>
      <c r="K31" s="15"/>
      <c r="L31" s="21">
        <f>+D31-H31</f>
        <v>4139.8399999999929</v>
      </c>
      <c r="M31" s="15"/>
      <c r="N31" s="20">
        <f>IF(H31=0,0,L31/H31)</f>
        <v>0.47464343040586937</v>
      </c>
      <c r="O31" s="25"/>
      <c r="P31" s="21">
        <f>P12-P19</f>
        <v>164694.28999999992</v>
      </c>
      <c r="Q31" s="13"/>
      <c r="R31" s="20">
        <f>IF(P$12=0,0,P31/P$12)</f>
        <v>0.16336901441601492</v>
      </c>
      <c r="S31" s="13"/>
      <c r="T31" s="21">
        <f>T12-T19</f>
        <v>519564</v>
      </c>
      <c r="U31" s="13"/>
      <c r="V31" s="20">
        <f>IF(T$12=0,0,T31/T$12)</f>
        <v>0.27750040057683062</v>
      </c>
      <c r="W31" s="15"/>
      <c r="X31" s="21">
        <f>+P31-T31</f>
        <v>-354869.71000000008</v>
      </c>
      <c r="Y31" s="15"/>
      <c r="Z31" s="20">
        <f>IF(T31=0,0,X31/T31)</f>
        <v>-0.68301443133088524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5" t="s">
        <v>295</v>
      </c>
      <c r="C33" s="10"/>
      <c r="D33" s="22">
        <f>SUM(OSRRefD22x_0)</f>
        <v>47453.490000000005</v>
      </c>
      <c r="E33" s="22"/>
      <c r="F33" s="34">
        <f t="shared" ref="F33:F44" si="12">IF(D$12=0,0,D33/D$12)</f>
        <v>1.365981979575394</v>
      </c>
      <c r="G33" s="22"/>
      <c r="H33" s="22">
        <f>SUM(OSRRefH22x_0)</f>
        <v>53560.137548737199</v>
      </c>
      <c r="I33" s="22"/>
      <c r="J33" s="34">
        <f t="shared" ref="J33:J44" si="13">IF(H$12=0,0,H33/H$12)</f>
        <v>1.7041087352445816</v>
      </c>
      <c r="K33" s="4"/>
      <c r="L33" s="22">
        <f t="shared" ref="L33:L44" si="14">+D33-H33</f>
        <v>-6106.6475487371936</v>
      </c>
      <c r="M33" s="4"/>
      <c r="N33" s="34">
        <f t="shared" ref="N33:N44" si="15">IF(H33=0,0,L33/H33)</f>
        <v>-0.11401478465548062</v>
      </c>
      <c r="O33" s="10"/>
      <c r="P33" s="22">
        <f>SUM(OSRRefP22x_0)</f>
        <v>192347.34</v>
      </c>
      <c r="Q33" s="22"/>
      <c r="R33" s="34">
        <f t="shared" ref="R33:R44" si="16">IF(P$12=0,0,P33/P$12)</f>
        <v>0.19079954357459591</v>
      </c>
      <c r="S33" s="22"/>
      <c r="T33" s="22">
        <f>SUM(OSRRefT22x_0)</f>
        <v>224393.64039545384</v>
      </c>
      <c r="U33" s="22"/>
      <c r="V33" s="34">
        <f t="shared" ref="V33:V44" si="17">IF(T$12=0,0,T33/T$12)</f>
        <v>0.11984919104601498</v>
      </c>
      <c r="W33" s="4"/>
      <c r="X33" s="22">
        <f t="shared" ref="X33:X44" si="18">+P33-T33</f>
        <v>-32046.300395453844</v>
      </c>
      <c r="Y33" s="4"/>
      <c r="Z33" s="34">
        <f t="shared" ref="Z33:Z44" si="19">IF(T33=0,0,X33/T33)</f>
        <v>-0.14281287267757653</v>
      </c>
    </row>
    <row r="34" spans="1:26" s="28" customFormat="1" outlineLevel="1" collapsed="1" x14ac:dyDescent="0.25">
      <c r="A34" s="29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15715.130000000001</v>
      </c>
      <c r="E34" s="1"/>
      <c r="F34" s="5">
        <f t="shared" si="12"/>
        <v>0.45237103502154763</v>
      </c>
      <c r="G34" s="1"/>
      <c r="H34" s="1">
        <f>SUM(OSRRefH22_0x_0)</f>
        <v>15587.2831171699</v>
      </c>
      <c r="I34" s="1"/>
      <c r="J34" s="5">
        <f t="shared" si="13"/>
        <v>0.4959364657069647</v>
      </c>
      <c r="K34" s="1"/>
      <c r="L34" s="1">
        <f t="shared" si="14"/>
        <v>127.84688283010109</v>
      </c>
      <c r="M34" s="1"/>
      <c r="N34" s="5">
        <f t="shared" si="15"/>
        <v>8.2019991469375175E-3</v>
      </c>
      <c r="O34" s="14"/>
      <c r="P34" s="1">
        <f>SUM(OSRRefP22_0x_0)</f>
        <v>51937.590000000004</v>
      </c>
      <c r="Q34" s="1"/>
      <c r="R34" s="5">
        <f t="shared" si="16"/>
        <v>5.151965432100334E-2</v>
      </c>
      <c r="S34" s="1"/>
      <c r="T34" s="1">
        <f>SUM(OSRRefT22_0x_0)</f>
        <v>60463.364441811631</v>
      </c>
      <c r="U34" s="1"/>
      <c r="V34" s="5">
        <f t="shared" si="17"/>
        <v>3.2293630530263115E-2</v>
      </c>
      <c r="W34" s="1"/>
      <c r="X34" s="1">
        <f t="shared" si="18"/>
        <v>-8525.7744418116272</v>
      </c>
      <c r="Y34" s="1"/>
      <c r="Z34" s="5">
        <f t="shared" si="19"/>
        <v>-0.14100727805209401</v>
      </c>
    </row>
    <row r="35" spans="1:26" s="24" customFormat="1" hidden="1" outlineLevel="2" x14ac:dyDescent="0.25">
      <c r="A35" s="27"/>
      <c r="B35" s="11" t="str">
        <f>CONCATENATE("          ", "6111", " - ", "F.I.C.A.")</f>
        <v xml:space="preserve">          6111 - F.I.C.A.</v>
      </c>
      <c r="C35" s="11"/>
      <c r="D35" s="7">
        <v>2647.68</v>
      </c>
      <c r="E35" s="2"/>
      <c r="F35" s="6">
        <f t="shared" si="12"/>
        <v>7.6215325104269011E-2</v>
      </c>
      <c r="G35" s="2"/>
      <c r="H35" s="7">
        <v>2459.7806274747099</v>
      </c>
      <c r="I35" s="2"/>
      <c r="J35" s="6">
        <f t="shared" si="13"/>
        <v>7.826218986556506E-2</v>
      </c>
      <c r="K35" s="2"/>
      <c r="L35" s="7">
        <f t="shared" si="14"/>
        <v>187.89937252528989</v>
      </c>
      <c r="M35" s="2"/>
      <c r="N35" s="6">
        <f t="shared" si="15"/>
        <v>7.6388670772723918E-2</v>
      </c>
      <c r="O35" s="11"/>
      <c r="P35" s="7">
        <v>9059.2000000000007</v>
      </c>
      <c r="Q35" s="2"/>
      <c r="R35" s="6">
        <f t="shared" si="16"/>
        <v>8.986301682939726E-3</v>
      </c>
      <c r="S35" s="2"/>
      <c r="T35" s="7">
        <v>9879.4877789089605</v>
      </c>
      <c r="U35" s="2"/>
      <c r="V35" s="6">
        <f t="shared" si="17"/>
        <v>5.2766585370447898E-3</v>
      </c>
      <c r="W35" s="2"/>
      <c r="X35" s="7">
        <f t="shared" si="18"/>
        <v>-820.28777890895981</v>
      </c>
      <c r="Y35" s="2"/>
      <c r="Z35" s="6">
        <f t="shared" si="19"/>
        <v>-8.3029383432219619E-2</v>
      </c>
    </row>
    <row r="36" spans="1:26" s="24" customFormat="1" hidden="1" outlineLevel="2" x14ac:dyDescent="0.25">
      <c r="A36" s="27"/>
      <c r="B36" s="11" t="str">
        <f>CONCATENATE("          ", "6112", " - ", "COMPENSATION INSURANCE")</f>
        <v xml:space="preserve">          6112 - COMPENSATION INSURANCE</v>
      </c>
      <c r="C36" s="11"/>
      <c r="D36" s="7">
        <v>519.37</v>
      </c>
      <c r="E36" s="2"/>
      <c r="F36" s="6">
        <f t="shared" si="12"/>
        <v>1.4950429583410458E-2</v>
      </c>
      <c r="G36" s="2"/>
      <c r="H36" s="7">
        <v>572.61969435000003</v>
      </c>
      <c r="I36" s="2"/>
      <c r="J36" s="6">
        <f t="shared" si="13"/>
        <v>1.8218889416162901E-2</v>
      </c>
      <c r="K36" s="2"/>
      <c r="L36" s="7">
        <f t="shared" si="14"/>
        <v>-53.249694350000027</v>
      </c>
      <c r="M36" s="2"/>
      <c r="N36" s="6">
        <f t="shared" si="15"/>
        <v>-9.2993124189424806E-2</v>
      </c>
      <c r="O36" s="11"/>
      <c r="P36" s="7">
        <v>1838.47</v>
      </c>
      <c r="Q36" s="2"/>
      <c r="R36" s="6">
        <f t="shared" si="16"/>
        <v>1.8236760481095677E-3</v>
      </c>
      <c r="S36" s="2"/>
      <c r="T36" s="7">
        <v>2476.40649966</v>
      </c>
      <c r="U36" s="2"/>
      <c r="V36" s="6">
        <f t="shared" si="17"/>
        <v>1.3226547560006409E-3</v>
      </c>
      <c r="W36" s="2"/>
      <c r="X36" s="7">
        <f t="shared" si="18"/>
        <v>-637.93649965999998</v>
      </c>
      <c r="Y36" s="2"/>
      <c r="Z36" s="6">
        <f t="shared" si="19"/>
        <v>-0.25760572819833333</v>
      </c>
    </row>
    <row r="37" spans="1:26" s="24" customFormat="1" hidden="1" outlineLevel="2" x14ac:dyDescent="0.25">
      <c r="A37" s="27"/>
      <c r="B37" s="11" t="str">
        <f>CONCATENATE("          ", "6113", " - ", "GROUP INSURANCE")</f>
        <v xml:space="preserve">          6113 - GROUP INSURANCE</v>
      </c>
      <c r="C37" s="11"/>
      <c r="D37" s="7">
        <v>4593.8599999999997</v>
      </c>
      <c r="E37" s="2"/>
      <c r="F37" s="6">
        <f t="shared" si="12"/>
        <v>0.13223748088269627</v>
      </c>
      <c r="G37" s="2"/>
      <c r="H37" s="7">
        <v>5620</v>
      </c>
      <c r="I37" s="2"/>
      <c r="J37" s="6">
        <f t="shared" si="13"/>
        <v>0.17881005408845052</v>
      </c>
      <c r="K37" s="2"/>
      <c r="L37" s="7">
        <f t="shared" si="14"/>
        <v>-1026.1400000000003</v>
      </c>
      <c r="M37" s="2"/>
      <c r="N37" s="6">
        <f t="shared" si="15"/>
        <v>-0.18258718861209972</v>
      </c>
      <c r="O37" s="11"/>
      <c r="P37" s="7">
        <v>18431.689999999999</v>
      </c>
      <c r="Q37" s="2"/>
      <c r="R37" s="6">
        <f t="shared" si="16"/>
        <v>1.8283372358091583E-2</v>
      </c>
      <c r="S37" s="2"/>
      <c r="T37" s="7">
        <v>21868</v>
      </c>
      <c r="U37" s="2"/>
      <c r="V37" s="6">
        <f t="shared" si="17"/>
        <v>1.1679752176467446E-2</v>
      </c>
      <c r="W37" s="2"/>
      <c r="X37" s="7">
        <f t="shared" si="18"/>
        <v>-3436.3100000000013</v>
      </c>
      <c r="Y37" s="2"/>
      <c r="Z37" s="6">
        <f t="shared" si="19"/>
        <v>-0.15713874154015006</v>
      </c>
    </row>
    <row r="38" spans="1:26" s="24" customFormat="1" hidden="1" outlineLevel="2" x14ac:dyDescent="0.25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7">
        <v>103.04</v>
      </c>
      <c r="E38" s="2"/>
      <c r="F38" s="6">
        <f t="shared" si="12"/>
        <v>2.9660786419597081E-3</v>
      </c>
      <c r="G38" s="2"/>
      <c r="H38" s="7">
        <v>77.083420393269193</v>
      </c>
      <c r="I38" s="2"/>
      <c r="J38" s="6">
        <f t="shared" si="13"/>
        <v>2.4525428060219279E-3</v>
      </c>
      <c r="K38" s="2"/>
      <c r="L38" s="7">
        <f t="shared" si="14"/>
        <v>25.956579606730813</v>
      </c>
      <c r="M38" s="2"/>
      <c r="N38" s="6">
        <f t="shared" si="15"/>
        <v>0.33673362539316304</v>
      </c>
      <c r="O38" s="11"/>
      <c r="P38" s="7">
        <v>364.49</v>
      </c>
      <c r="Q38" s="2"/>
      <c r="R38" s="6">
        <f t="shared" si="16"/>
        <v>3.61556991833131E-4</v>
      </c>
      <c r="S38" s="2"/>
      <c r="T38" s="7">
        <v>333.36241341576903</v>
      </c>
      <c r="U38" s="2"/>
      <c r="V38" s="6">
        <f t="shared" si="17"/>
        <v>1.7804967869239387E-4</v>
      </c>
      <c r="W38" s="2"/>
      <c r="X38" s="7">
        <f t="shared" si="18"/>
        <v>31.127586584230983</v>
      </c>
      <c r="Y38" s="2"/>
      <c r="Z38" s="6">
        <f t="shared" si="19"/>
        <v>9.3374613728299083E-2</v>
      </c>
    </row>
    <row r="39" spans="1:26" s="24" customFormat="1" hidden="1" outlineLevel="2" x14ac:dyDescent="0.25">
      <c r="A39" s="27"/>
      <c r="B39" s="11" t="str">
        <f>CONCATENATE("          ", "6115", " - ", "P.E.R.S.")</f>
        <v xml:space="preserve">          6115 - P.E.R.S.</v>
      </c>
      <c r="C39" s="11"/>
      <c r="D39" s="7">
        <v>2410.65</v>
      </c>
      <c r="E39" s="2"/>
      <c r="F39" s="6">
        <f t="shared" si="12"/>
        <v>6.9392250371119665E-2</v>
      </c>
      <c r="G39" s="2"/>
      <c r="H39" s="7">
        <v>2080.8534770576898</v>
      </c>
      <c r="I39" s="2"/>
      <c r="J39" s="6">
        <f t="shared" si="13"/>
        <v>6.6205964907976131E-2</v>
      </c>
      <c r="K39" s="2"/>
      <c r="L39" s="7">
        <f t="shared" si="14"/>
        <v>329.79652294231028</v>
      </c>
      <c r="M39" s="2"/>
      <c r="N39" s="6">
        <f t="shared" si="15"/>
        <v>0.15849098775019946</v>
      </c>
      <c r="O39" s="11"/>
      <c r="P39" s="7">
        <v>7231.95</v>
      </c>
      <c r="Q39" s="2"/>
      <c r="R39" s="6">
        <f t="shared" si="16"/>
        <v>7.1737553488096014E-3</v>
      </c>
      <c r="S39" s="2"/>
      <c r="T39" s="7">
        <v>7491.0725174076797</v>
      </c>
      <c r="U39" s="2"/>
      <c r="V39" s="6">
        <f t="shared" si="17"/>
        <v>4.0010001161179722E-3</v>
      </c>
      <c r="W39" s="2"/>
      <c r="X39" s="7">
        <f t="shared" si="18"/>
        <v>-259.12251740767988</v>
      </c>
      <c r="Y39" s="2"/>
      <c r="Z39" s="6">
        <f t="shared" si="19"/>
        <v>-3.4590843541500042E-2</v>
      </c>
    </row>
    <row r="40" spans="1:26" s="24" customFormat="1" hidden="1" outlineLevel="2" x14ac:dyDescent="0.25">
      <c r="A40" s="27"/>
      <c r="B40" s="11" t="str">
        <f>CONCATENATE("          ", "6116", " - ", "EDUCATIONAL BENEFITS")</f>
        <v xml:space="preserve">          6116 - EDUCATIONAL BENEFITS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7"/>
      <c r="B41" s="11" t="str">
        <f>CONCATENATE("          ", "6117", " - ", "RETIREMENT STAFF HOURLY")</f>
        <v xml:space="preserve">          6117 - RETIREMENT STAFF HOURLY</v>
      </c>
      <c r="C41" s="11"/>
      <c r="D41" s="7">
        <v>271.36</v>
      </c>
      <c r="E41" s="2"/>
      <c r="F41" s="6">
        <f t="shared" si="12"/>
        <v>7.8112878521174921E-3</v>
      </c>
      <c r="G41" s="2"/>
      <c r="H41" s="7"/>
      <c r="I41" s="2"/>
      <c r="J41" s="6">
        <f t="shared" si="13"/>
        <v>0</v>
      </c>
      <c r="K41" s="2"/>
      <c r="L41" s="7">
        <f t="shared" si="14"/>
        <v>271.36</v>
      </c>
      <c r="M41" s="2"/>
      <c r="N41" s="6">
        <f t="shared" si="15"/>
        <v>0</v>
      </c>
      <c r="O41" s="11"/>
      <c r="P41" s="7">
        <v>1248.25</v>
      </c>
      <c r="Q41" s="2"/>
      <c r="R41" s="6">
        <f t="shared" si="16"/>
        <v>1.2382054790411416E-3</v>
      </c>
      <c r="S41" s="2"/>
      <c r="T41" s="7"/>
      <c r="U41" s="2"/>
      <c r="V41" s="6">
        <f t="shared" si="17"/>
        <v>0</v>
      </c>
      <c r="W41" s="2"/>
      <c r="X41" s="7">
        <f t="shared" si="18"/>
        <v>1248.25</v>
      </c>
      <c r="Y41" s="2"/>
      <c r="Z41" s="6">
        <f t="shared" si="19"/>
        <v>0</v>
      </c>
    </row>
    <row r="42" spans="1:26" s="24" customFormat="1" hidden="1" outlineLevel="2" x14ac:dyDescent="0.25">
      <c r="A42" s="27"/>
      <c r="B42" s="11" t="str">
        <f>CONCATENATE("          ", "6118", " - ", "VACATION")</f>
        <v xml:space="preserve">          6118 - VACATION</v>
      </c>
      <c r="C42" s="11"/>
      <c r="D42" s="7">
        <v>2292.4699999999998</v>
      </c>
      <c r="E42" s="2"/>
      <c r="F42" s="6">
        <f t="shared" si="12"/>
        <v>6.5990356214415485E-2</v>
      </c>
      <c r="G42" s="2"/>
      <c r="H42" s="7">
        <v>2111.4919273750002</v>
      </c>
      <c r="I42" s="2"/>
      <c r="J42" s="6">
        <f t="shared" si="13"/>
        <v>6.7180780381005417E-2</v>
      </c>
      <c r="K42" s="2"/>
      <c r="L42" s="7">
        <f t="shared" si="14"/>
        <v>180.97807262499964</v>
      </c>
      <c r="M42" s="2"/>
      <c r="N42" s="6">
        <f t="shared" si="15"/>
        <v>8.5710994334698212E-2</v>
      </c>
      <c r="O42" s="11"/>
      <c r="P42" s="7">
        <v>6101.24</v>
      </c>
      <c r="Q42" s="2"/>
      <c r="R42" s="6">
        <f t="shared" si="16"/>
        <v>6.0521440392108756E-3</v>
      </c>
      <c r="S42" s="2"/>
      <c r="T42" s="7">
        <v>7601.3709385499997</v>
      </c>
      <c r="U42" s="2"/>
      <c r="V42" s="6">
        <f t="shared" si="17"/>
        <v>4.0599107720717831E-3</v>
      </c>
      <c r="W42" s="2"/>
      <c r="X42" s="7">
        <f t="shared" si="18"/>
        <v>-1500.1309385499999</v>
      </c>
      <c r="Y42" s="2"/>
      <c r="Z42" s="6">
        <f t="shared" si="19"/>
        <v>-0.19735005049446483</v>
      </c>
    </row>
    <row r="43" spans="1:26" s="24" customFormat="1" hidden="1" outlineLevel="2" x14ac:dyDescent="0.25">
      <c r="A43" s="27"/>
      <c r="B43" s="11" t="str">
        <f>CONCATENATE("          ", "6119", " - ", "SICK LEAVE")</f>
        <v xml:space="preserve">          6119 - SICK LEAVE</v>
      </c>
      <c r="C43" s="11"/>
      <c r="D43" s="7">
        <v>1607.84</v>
      </c>
      <c r="E43" s="2"/>
      <c r="F43" s="6">
        <f t="shared" si="12"/>
        <v>4.6282801666231527E-2</v>
      </c>
      <c r="G43" s="2"/>
      <c r="H43" s="7">
        <v>1615.4539705192301</v>
      </c>
      <c r="I43" s="2"/>
      <c r="J43" s="6">
        <f t="shared" si="13"/>
        <v>5.1398471858709195E-2</v>
      </c>
      <c r="K43" s="2"/>
      <c r="L43" s="7">
        <f t="shared" si="14"/>
        <v>-7.613970519230179</v>
      </c>
      <c r="M43" s="2"/>
      <c r="N43" s="6">
        <f t="shared" si="15"/>
        <v>-4.7132079639402788E-3</v>
      </c>
      <c r="O43" s="11"/>
      <c r="P43" s="7">
        <v>4823.54</v>
      </c>
      <c r="Q43" s="2"/>
      <c r="R43" s="6">
        <f t="shared" si="16"/>
        <v>4.7847255408564864E-3</v>
      </c>
      <c r="S43" s="2"/>
      <c r="T43" s="7">
        <v>6613.6642938692203</v>
      </c>
      <c r="U43" s="2"/>
      <c r="V43" s="6">
        <f t="shared" si="17"/>
        <v>3.5323742423058377E-3</v>
      </c>
      <c r="W43" s="2"/>
      <c r="X43" s="7">
        <f t="shared" si="18"/>
        <v>-1790.1242938692203</v>
      </c>
      <c r="Y43" s="2"/>
      <c r="Z43" s="6">
        <f t="shared" si="19"/>
        <v>-0.27067057146045981</v>
      </c>
    </row>
    <row r="44" spans="1:26" s="24" customFormat="1" hidden="1" outlineLevel="2" x14ac:dyDescent="0.25">
      <c r="A44" s="27"/>
      <c r="B44" s="11" t="str">
        <f>CONCATENATE("          ", "6156", " - ", "EMPLOYEE MEALS")</f>
        <v xml:space="preserve">          6156 - EMPLOYEE MEALS</v>
      </c>
      <c r="C44" s="11"/>
      <c r="D44" s="7">
        <v>1268.8599999999999</v>
      </c>
      <c r="E44" s="2"/>
      <c r="F44" s="6">
        <f t="shared" si="12"/>
        <v>3.652502470532798E-2</v>
      </c>
      <c r="G44" s="2"/>
      <c r="H44" s="7">
        <v>1050</v>
      </c>
      <c r="I44" s="2"/>
      <c r="J44" s="6">
        <f t="shared" si="13"/>
        <v>3.34075723830735E-2</v>
      </c>
      <c r="K44" s="2"/>
      <c r="L44" s="7">
        <f t="shared" si="14"/>
        <v>218.8599999999999</v>
      </c>
      <c r="M44" s="2"/>
      <c r="N44" s="6">
        <f t="shared" si="15"/>
        <v>0.20843809523809514</v>
      </c>
      <c r="O44" s="11"/>
      <c r="P44" s="7">
        <v>2838.76</v>
      </c>
      <c r="Q44" s="2"/>
      <c r="R44" s="6">
        <f t="shared" si="16"/>
        <v>2.815916832111221E-3</v>
      </c>
      <c r="S44" s="2"/>
      <c r="T44" s="7">
        <v>4200</v>
      </c>
      <c r="U44" s="2"/>
      <c r="V44" s="6">
        <f t="shared" si="17"/>
        <v>2.2432302515622495E-3</v>
      </c>
      <c r="W44" s="2"/>
      <c r="X44" s="7">
        <f t="shared" si="18"/>
        <v>-1361.2399999999998</v>
      </c>
      <c r="Y44" s="2"/>
      <c r="Z44" s="6">
        <f t="shared" si="19"/>
        <v>-0.32410476190476184</v>
      </c>
    </row>
    <row r="45" spans="1:26" s="28" customFormat="1" outlineLevel="1" collapsed="1" x14ac:dyDescent="0.25">
      <c r="A45" s="29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25944.329999999998</v>
      </c>
      <c r="E45" s="1"/>
      <c r="F45" s="5">
        <f t="shared" ref="F45:F55" si="20">IF(D$12=0,0,D45/D$12)</f>
        <v>0.74682572877479136</v>
      </c>
      <c r="G45" s="1"/>
      <c r="H45" s="1">
        <f>SUM(OSRRefH22_1x_0)</f>
        <v>33592.854431567299</v>
      </c>
      <c r="I45" s="1"/>
      <c r="J45" s="5">
        <f t="shared" ref="J45:J55" si="21">IF(H$12=0,0,H45/H$12)</f>
        <v>1.068814967596796</v>
      </c>
      <c r="K45" s="1"/>
      <c r="L45" s="1">
        <f t="shared" ref="L45:L55" si="22">+D45-H45</f>
        <v>-7648.5244315673008</v>
      </c>
      <c r="M45" s="1"/>
      <c r="N45" s="5">
        <f t="shared" ref="N45:N55" si="23">IF(H45=0,0,L45/H45)</f>
        <v>-0.22768307608834695</v>
      </c>
      <c r="O45" s="14"/>
      <c r="P45" s="1">
        <f>SUM(OSRRefP22_1x_0)</f>
        <v>125315.64999999998</v>
      </c>
      <c r="Q45" s="1"/>
      <c r="R45" s="5">
        <f t="shared" ref="R45:R55" si="24">IF(P$12=0,0,P45/P$12)</f>
        <v>0.12430724970126339</v>
      </c>
      <c r="S45" s="1"/>
      <c r="T45" s="1">
        <f>SUM(OSRRefT22_1x_0)</f>
        <v>147535.27595364221</v>
      </c>
      <c r="U45" s="1"/>
      <c r="V45" s="5">
        <f t="shared" ref="V45:V55" si="25">IF(T$12=0,0,T45/T$12)</f>
        <v>7.879895099804636E-2</v>
      </c>
      <c r="W45" s="1"/>
      <c r="X45" s="1">
        <f t="shared" ref="X45:X55" si="26">+P45-T45</f>
        <v>-22219.625953642229</v>
      </c>
      <c r="Y45" s="1"/>
      <c r="Z45" s="5">
        <f t="shared" ref="Z45:Z55" si="27">IF(T45=0,0,X45/T45)</f>
        <v>-0.15060551322399646</v>
      </c>
    </row>
    <row r="46" spans="1:26" s="24" customFormat="1" hidden="1" outlineLevel="2" x14ac:dyDescent="0.25">
      <c r="A46" s="27"/>
      <c r="B46" s="11" t="str">
        <f>CONCATENATE("          ", "6001", " - ", "ADMINISTRATIVE SALARIES")</f>
        <v xml:space="preserve">          6001 - ADMINISTRATIVE SALARIES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7"/>
      <c r="B47" s="11" t="str">
        <f>CONCATENATE("          ", "6002", " - ", "STAFF SALARIES")</f>
        <v xml:space="preserve">          6002 - STAFF SALARIES</v>
      </c>
      <c r="C47" s="11"/>
      <c r="D47" s="7">
        <v>16567.12</v>
      </c>
      <c r="E47" s="2"/>
      <c r="F47" s="6">
        <f t="shared" si="20"/>
        <v>0.47689616450682759</v>
      </c>
      <c r="G47" s="2"/>
      <c r="H47" s="7">
        <v>21617.1259715673</v>
      </c>
      <c r="I47" s="2"/>
      <c r="J47" s="6">
        <f t="shared" si="21"/>
        <v>0.68778638153252625</v>
      </c>
      <c r="K47" s="2"/>
      <c r="L47" s="7">
        <f t="shared" si="22"/>
        <v>-5050.0059715673015</v>
      </c>
      <c r="M47" s="2"/>
      <c r="N47" s="6">
        <f t="shared" si="23"/>
        <v>-0.23361134954801591</v>
      </c>
      <c r="O47" s="11"/>
      <c r="P47" s="7">
        <v>69667.899999999994</v>
      </c>
      <c r="Q47" s="2"/>
      <c r="R47" s="6">
        <f t="shared" si="24"/>
        <v>6.9107290601474344E-2</v>
      </c>
      <c r="S47" s="2"/>
      <c r="T47" s="7">
        <v>77821.653497642197</v>
      </c>
      <c r="U47" s="2"/>
      <c r="V47" s="6">
        <f t="shared" si="25"/>
        <v>4.1564735083930028E-2</v>
      </c>
      <c r="W47" s="2"/>
      <c r="X47" s="7">
        <f t="shared" si="26"/>
        <v>-8153.753497642203</v>
      </c>
      <c r="Y47" s="2"/>
      <c r="Z47" s="6">
        <f t="shared" si="27"/>
        <v>-0.10477486831976966</v>
      </c>
    </row>
    <row r="48" spans="1:26" s="24" customFormat="1" hidden="1" outlineLevel="2" x14ac:dyDescent="0.25">
      <c r="A48" s="27"/>
      <c r="B48" s="11" t="str">
        <f>CONCATENATE("          ", "6003", " - ", "STAFF HOURLY-9 MONTH")</f>
        <v xml:space="preserve">          6003 - STAFF HOURLY-9 MONTH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25">
      <c r="A49" s="27"/>
      <c r="B49" s="11" t="str">
        <f>CONCATENATE("          ", "6004", " - ", "STAFF HOURLY")</f>
        <v xml:space="preserve">          6004 - STAFF HOURLY</v>
      </c>
      <c r="C49" s="11"/>
      <c r="D49" s="7">
        <v>7047.55</v>
      </c>
      <c r="E49" s="2"/>
      <c r="F49" s="6">
        <f t="shared" si="20"/>
        <v>0.20286866782941712</v>
      </c>
      <c r="G49" s="2"/>
      <c r="H49" s="7">
        <v>7410.7284600000003</v>
      </c>
      <c r="I49" s="2"/>
      <c r="J49" s="6">
        <f t="shared" si="21"/>
        <v>0.23578518803690743</v>
      </c>
      <c r="K49" s="2"/>
      <c r="L49" s="7">
        <f t="shared" si="22"/>
        <v>-363.17846000000009</v>
      </c>
      <c r="M49" s="2"/>
      <c r="N49" s="6">
        <f t="shared" si="23"/>
        <v>-4.9007120144839322E-2</v>
      </c>
      <c r="O49" s="11"/>
      <c r="P49" s="7">
        <v>24796.46</v>
      </c>
      <c r="Q49" s="2"/>
      <c r="R49" s="6">
        <f t="shared" si="24"/>
        <v>2.4596925802382943E-2</v>
      </c>
      <c r="S49" s="2"/>
      <c r="T49" s="7">
        <v>26678.622456000001</v>
      </c>
      <c r="U49" s="2"/>
      <c r="V49" s="6">
        <f t="shared" si="25"/>
        <v>1.4249117372215991E-2</v>
      </c>
      <c r="W49" s="2"/>
      <c r="X49" s="7">
        <f t="shared" si="26"/>
        <v>-1882.1624560000018</v>
      </c>
      <c r="Y49" s="2"/>
      <c r="Z49" s="6">
        <f t="shared" si="27"/>
        <v>-7.0549461806140037E-2</v>
      </c>
    </row>
    <row r="50" spans="1:26" s="24" customFormat="1" hidden="1" outlineLevel="2" x14ac:dyDescent="0.25">
      <c r="A50" s="27"/>
      <c r="B50" s="11" t="str">
        <f>CONCATENATE("          ", "6005", " - ", "TEMPORARY WAGES-HOURLY")</f>
        <v xml:space="preserve">          6005 - TEMPORARY WAGES-HOURLY</v>
      </c>
      <c r="C50" s="11"/>
      <c r="D50" s="7">
        <v>2403.63</v>
      </c>
      <c r="E50" s="2"/>
      <c r="F50" s="6">
        <f t="shared" si="20"/>
        <v>6.9190174749355723E-2</v>
      </c>
      <c r="G50" s="2"/>
      <c r="H50" s="7">
        <v>3445</v>
      </c>
      <c r="I50" s="2"/>
      <c r="J50" s="6">
        <f t="shared" si="21"/>
        <v>0.109608654152084</v>
      </c>
      <c r="K50" s="2"/>
      <c r="L50" s="7">
        <f t="shared" si="22"/>
        <v>-1041.3699999999999</v>
      </c>
      <c r="M50" s="2"/>
      <c r="N50" s="6">
        <f t="shared" si="23"/>
        <v>-0.30228447024673438</v>
      </c>
      <c r="O50" s="11"/>
      <c r="P50" s="7">
        <v>10540.86</v>
      </c>
      <c r="Q50" s="2"/>
      <c r="R50" s="6">
        <f t="shared" si="24"/>
        <v>1.045603893915931E-2</v>
      </c>
      <c r="S50" s="2"/>
      <c r="T50" s="7">
        <v>15091</v>
      </c>
      <c r="U50" s="2"/>
      <c r="V50" s="6">
        <f t="shared" si="25"/>
        <v>8.0601399348395018E-3</v>
      </c>
      <c r="W50" s="2"/>
      <c r="X50" s="7">
        <f t="shared" si="26"/>
        <v>-4550.1399999999994</v>
      </c>
      <c r="Y50" s="2"/>
      <c r="Z50" s="6">
        <f t="shared" si="27"/>
        <v>-0.30151348485852492</v>
      </c>
    </row>
    <row r="51" spans="1:26" s="24" customFormat="1" hidden="1" outlineLevel="2" x14ac:dyDescent="0.25">
      <c r="A51" s="27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4" customFormat="1" hidden="1" outlineLevel="2" x14ac:dyDescent="0.25">
      <c r="A52" s="27"/>
      <c r="B52" s="11" t="str">
        <f>CONCATENATE("          ", "6007", " - ", "STUDENT HOURLY")</f>
        <v xml:space="preserve">          6007 - STUDENT HOURLY</v>
      </c>
      <c r="C52" s="11"/>
      <c r="D52" s="7">
        <v>-240.57</v>
      </c>
      <c r="E52" s="2"/>
      <c r="F52" s="6">
        <f t="shared" si="20"/>
        <v>-6.9249761150645085E-3</v>
      </c>
      <c r="G52" s="2"/>
      <c r="H52" s="7">
        <v>0</v>
      </c>
      <c r="I52" s="2"/>
      <c r="J52" s="6">
        <f t="shared" si="21"/>
        <v>0</v>
      </c>
      <c r="K52" s="2"/>
      <c r="L52" s="7">
        <f t="shared" si="22"/>
        <v>-240.57</v>
      </c>
      <c r="M52" s="2"/>
      <c r="N52" s="6">
        <f t="shared" si="23"/>
        <v>0</v>
      </c>
      <c r="O52" s="11"/>
      <c r="P52" s="7">
        <v>16343.95</v>
      </c>
      <c r="Q52" s="2"/>
      <c r="R52" s="6">
        <f t="shared" si="24"/>
        <v>1.6212432156358477E-2</v>
      </c>
      <c r="S52" s="2"/>
      <c r="T52" s="7">
        <v>13384</v>
      </c>
      <c r="U52" s="2"/>
      <c r="V52" s="6">
        <f t="shared" si="25"/>
        <v>7.1484270683117024E-3</v>
      </c>
      <c r="W52" s="2"/>
      <c r="X52" s="7">
        <f t="shared" si="26"/>
        <v>2959.9500000000007</v>
      </c>
      <c r="Y52" s="2"/>
      <c r="Z52" s="6">
        <f t="shared" si="27"/>
        <v>0.22115585774058583</v>
      </c>
    </row>
    <row r="53" spans="1:26" s="24" customFormat="1" hidden="1" outlineLevel="2" x14ac:dyDescent="0.25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7">
        <v>166.6</v>
      </c>
      <c r="E53" s="2"/>
      <c r="F53" s="6">
        <f t="shared" si="20"/>
        <v>4.7956978042555058E-3</v>
      </c>
      <c r="G53" s="2"/>
      <c r="H53" s="7">
        <v>1120</v>
      </c>
      <c r="I53" s="2"/>
      <c r="J53" s="6">
        <f t="shared" si="21"/>
        <v>3.5634743875278395E-2</v>
      </c>
      <c r="K53" s="2"/>
      <c r="L53" s="7">
        <f t="shared" si="22"/>
        <v>-953.4</v>
      </c>
      <c r="M53" s="2"/>
      <c r="N53" s="6">
        <f t="shared" si="23"/>
        <v>-0.85124999999999995</v>
      </c>
      <c r="O53" s="11"/>
      <c r="P53" s="7">
        <v>3966.48</v>
      </c>
      <c r="Q53" s="2"/>
      <c r="R53" s="6">
        <f t="shared" si="24"/>
        <v>3.9345622018883298E-3</v>
      </c>
      <c r="S53" s="2"/>
      <c r="T53" s="7">
        <v>14560</v>
      </c>
      <c r="U53" s="2"/>
      <c r="V53" s="6">
        <f t="shared" si="25"/>
        <v>7.7765315387491318E-3</v>
      </c>
      <c r="W53" s="2"/>
      <c r="X53" s="7">
        <f t="shared" si="26"/>
        <v>-10593.52</v>
      </c>
      <c r="Y53" s="2"/>
      <c r="Z53" s="6">
        <f t="shared" si="27"/>
        <v>-0.72757692307692312</v>
      </c>
    </row>
    <row r="54" spans="1:26" s="24" customFormat="1" hidden="1" outlineLevel="2" x14ac:dyDescent="0.25">
      <c r="A54" s="27"/>
      <c r="B54" s="11" t="str">
        <f>CONCATENATE("          ", "6009", " - ", "TEMPORARY-SEASONAL")</f>
        <v xml:space="preserve">          6009 - TEMPORARY-SEASONAL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25">
      <c r="A55" s="27"/>
      <c r="B55" s="11" t="str">
        <f>CONCATENATE("          ", "6010", " - ", "GRATUITY")</f>
        <v xml:space="preserve">          6010 - GRATUITY</v>
      </c>
      <c r="C55" s="11"/>
      <c r="D55" s="7"/>
      <c r="E55" s="2"/>
      <c r="F55" s="6">
        <f t="shared" si="20"/>
        <v>0</v>
      </c>
      <c r="G55" s="2"/>
      <c r="H55" s="7">
        <v>0</v>
      </c>
      <c r="I55" s="2"/>
      <c r="J55" s="6">
        <f t="shared" si="21"/>
        <v>0</v>
      </c>
      <c r="K55" s="2"/>
      <c r="L55" s="7">
        <f t="shared" si="22"/>
        <v>0</v>
      </c>
      <c r="M55" s="2"/>
      <c r="N55" s="6">
        <f t="shared" si="23"/>
        <v>0</v>
      </c>
      <c r="O55" s="11"/>
      <c r="P55" s="7"/>
      <c r="Q55" s="2"/>
      <c r="R55" s="6">
        <f t="shared" si="24"/>
        <v>0</v>
      </c>
      <c r="S55" s="2"/>
      <c r="T55" s="7">
        <v>0</v>
      </c>
      <c r="U55" s="2"/>
      <c r="V55" s="6">
        <f t="shared" si="25"/>
        <v>0</v>
      </c>
      <c r="W55" s="2"/>
      <c r="X55" s="7">
        <f t="shared" si="26"/>
        <v>0</v>
      </c>
      <c r="Y55" s="2"/>
      <c r="Z55" s="6">
        <f t="shared" si="27"/>
        <v>0</v>
      </c>
    </row>
    <row r="56" spans="1:26" s="28" customFormat="1" outlineLevel="1" collapsed="1" x14ac:dyDescent="0.25">
      <c r="A56" s="29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113.63</v>
      </c>
      <c r="E56" s="1"/>
      <c r="F56" s="5">
        <f t="shared" ref="F56:F71" si="28">IF(D$12=0,0,D56/D$12)</f>
        <v>3.2709192166719878E-3</v>
      </c>
      <c r="G56" s="1"/>
      <c r="H56" s="1">
        <f>SUM(OSRRefH22_2x_0)</f>
        <v>100</v>
      </c>
      <c r="I56" s="1"/>
      <c r="J56" s="5">
        <f t="shared" ref="J56:J71" si="29">IF(H$12=0,0,H56/H$12)</f>
        <v>3.181673560292714E-3</v>
      </c>
      <c r="K56" s="1"/>
      <c r="L56" s="1">
        <f t="shared" ref="L56:L71" si="30">+D56-H56</f>
        <v>13.629999999999995</v>
      </c>
      <c r="M56" s="1"/>
      <c r="N56" s="5">
        <f t="shared" ref="N56:N71" si="31">IF(H56=0,0,L56/H56)</f>
        <v>0.13629999999999995</v>
      </c>
      <c r="O56" s="14"/>
      <c r="P56" s="1">
        <f>SUM(OSRRefP22_2x_0)</f>
        <v>233.05</v>
      </c>
      <c r="Q56" s="1"/>
      <c r="R56" s="5">
        <f t="shared" ref="R56:R71" si="32">IF(P$12=0,0,P56/P$12)</f>
        <v>2.3117467405610903E-4</v>
      </c>
      <c r="S56" s="1"/>
      <c r="T56" s="1">
        <f>SUM(OSRRefT22_2x_0)</f>
        <v>2000</v>
      </c>
      <c r="U56" s="1"/>
      <c r="V56" s="5">
        <f t="shared" ref="V56:V71" si="33">IF(T$12=0,0,T56/T$12)</f>
        <v>1.0682048816963094E-3</v>
      </c>
      <c r="W56" s="1"/>
      <c r="X56" s="1">
        <f t="shared" ref="X56:X71" si="34">+P56-T56</f>
        <v>-1766.95</v>
      </c>
      <c r="Y56" s="1"/>
      <c r="Z56" s="5">
        <f t="shared" ref="Z56:Z71" si="35">IF(T56=0,0,X56/T56)</f>
        <v>-0.88347500000000001</v>
      </c>
    </row>
    <row r="57" spans="1:26" s="24" customFormat="1" hidden="1" outlineLevel="2" x14ac:dyDescent="0.25">
      <c r="A57" s="27"/>
      <c r="B57" s="11" t="str">
        <f>CONCATENATE("          ", "6362", " - ", "ADVERTISING EXPENSE")</f>
        <v xml:space="preserve">          6362 - ADVERTISING EXPENSE</v>
      </c>
      <c r="C57" s="11"/>
      <c r="D57" s="7">
        <v>113.63</v>
      </c>
      <c r="E57" s="2"/>
      <c r="F57" s="6">
        <f t="shared" si="28"/>
        <v>3.2709192166719878E-3</v>
      </c>
      <c r="G57" s="2"/>
      <c r="H57" s="7">
        <v>100</v>
      </c>
      <c r="I57" s="2"/>
      <c r="J57" s="6">
        <f t="shared" si="29"/>
        <v>3.181673560292714E-3</v>
      </c>
      <c r="K57" s="2"/>
      <c r="L57" s="7">
        <f t="shared" si="30"/>
        <v>13.629999999999995</v>
      </c>
      <c r="M57" s="2"/>
      <c r="N57" s="6">
        <f t="shared" si="31"/>
        <v>0.13629999999999995</v>
      </c>
      <c r="O57" s="11"/>
      <c r="P57" s="7">
        <v>233.05</v>
      </c>
      <c r="Q57" s="2"/>
      <c r="R57" s="6">
        <f t="shared" si="32"/>
        <v>2.3117467405610903E-4</v>
      </c>
      <c r="S57" s="2"/>
      <c r="T57" s="7">
        <v>2000</v>
      </c>
      <c r="U57" s="2"/>
      <c r="V57" s="6">
        <f t="shared" si="33"/>
        <v>1.0682048816963094E-3</v>
      </c>
      <c r="W57" s="2"/>
      <c r="X57" s="7">
        <f t="shared" si="34"/>
        <v>-1766.95</v>
      </c>
      <c r="Y57" s="2"/>
      <c r="Z57" s="6">
        <f t="shared" si="35"/>
        <v>-0.88347500000000001</v>
      </c>
    </row>
    <row r="58" spans="1:26" s="28" customFormat="1" outlineLevel="1" collapsed="1" x14ac:dyDescent="0.25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SUM(OSRRefD22_3x_0)</f>
        <v>0</v>
      </c>
      <c r="E58" s="1"/>
      <c r="F58" s="5">
        <f t="shared" si="28"/>
        <v>0</v>
      </c>
      <c r="G58" s="1"/>
      <c r="H58" s="1">
        <f>SUM(OSRRefH22_3x_0)</f>
        <v>50</v>
      </c>
      <c r="I58" s="1"/>
      <c r="J58" s="5">
        <f t="shared" si="29"/>
        <v>1.590836780146357E-3</v>
      </c>
      <c r="K58" s="1"/>
      <c r="L58" s="1">
        <f t="shared" si="30"/>
        <v>-50</v>
      </c>
      <c r="M58" s="1"/>
      <c r="N58" s="5">
        <f t="shared" si="31"/>
        <v>-1</v>
      </c>
      <c r="O58" s="14"/>
      <c r="P58" s="1">
        <f>SUM(OSRRefP22_3x_0)</f>
        <v>0</v>
      </c>
      <c r="Q58" s="1"/>
      <c r="R58" s="5">
        <f t="shared" si="32"/>
        <v>0</v>
      </c>
      <c r="S58" s="1"/>
      <c r="T58" s="1">
        <f>SUM(OSRRefT22_3x_0)</f>
        <v>200</v>
      </c>
      <c r="U58" s="1"/>
      <c r="V58" s="5">
        <f t="shared" si="33"/>
        <v>1.0682048816963094E-4</v>
      </c>
      <c r="W58" s="1"/>
      <c r="X58" s="1">
        <f t="shared" si="34"/>
        <v>-200</v>
      </c>
      <c r="Y58" s="1"/>
      <c r="Z58" s="5">
        <f t="shared" si="35"/>
        <v>-1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50</v>
      </c>
      <c r="I59" s="2"/>
      <c r="J59" s="6">
        <f t="shared" si="29"/>
        <v>1.590836780146357E-3</v>
      </c>
      <c r="K59" s="2"/>
      <c r="L59" s="7">
        <f t="shared" si="30"/>
        <v>-50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200</v>
      </c>
      <c r="U59" s="2"/>
      <c r="V59" s="6">
        <f t="shared" si="33"/>
        <v>1.0682048816963094E-4</v>
      </c>
      <c r="W59" s="2"/>
      <c r="X59" s="7">
        <f t="shared" si="34"/>
        <v>-200</v>
      </c>
      <c r="Y59" s="2"/>
      <c r="Z59" s="6">
        <f t="shared" si="35"/>
        <v>-1</v>
      </c>
    </row>
    <row r="60" spans="1:26" s="28" customFormat="1" outlineLevel="1" collapsed="1" x14ac:dyDescent="0.25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SUM(OSRRefD22_4x_0)</f>
        <v>91.26</v>
      </c>
      <c r="E60" s="1"/>
      <c r="F60" s="5">
        <f t="shared" si="28"/>
        <v>2.6269830829313175E-3</v>
      </c>
      <c r="G60" s="1"/>
      <c r="H60" s="1">
        <f>SUM(OSRRefH22_4x_0)</f>
        <v>100</v>
      </c>
      <c r="I60" s="1"/>
      <c r="J60" s="5">
        <f t="shared" si="29"/>
        <v>3.181673560292714E-3</v>
      </c>
      <c r="K60" s="1"/>
      <c r="L60" s="1">
        <f t="shared" si="30"/>
        <v>-8.7399999999999949</v>
      </c>
      <c r="M60" s="1"/>
      <c r="N60" s="5">
        <f t="shared" si="31"/>
        <v>-8.739999999999995E-2</v>
      </c>
      <c r="O60" s="14"/>
      <c r="P60" s="1">
        <f>SUM(OSRRefP22_4x_0)</f>
        <v>365.04</v>
      </c>
      <c r="Q60" s="1"/>
      <c r="R60" s="5">
        <f t="shared" si="32"/>
        <v>3.6210256604780964E-4</v>
      </c>
      <c r="S60" s="1"/>
      <c r="T60" s="1">
        <f>SUM(OSRRefT22_4x_0)</f>
        <v>400</v>
      </c>
      <c r="U60" s="1"/>
      <c r="V60" s="5">
        <f t="shared" si="33"/>
        <v>2.1364097633926187E-4</v>
      </c>
      <c r="W60" s="1"/>
      <c r="X60" s="1">
        <f t="shared" si="34"/>
        <v>-34.95999999999998</v>
      </c>
      <c r="Y60" s="1"/>
      <c r="Z60" s="5">
        <f t="shared" si="35"/>
        <v>-8.739999999999995E-2</v>
      </c>
    </row>
    <row r="61" spans="1:26" s="24" customFormat="1" hidden="1" outlineLevel="2" x14ac:dyDescent="0.25">
      <c r="A61" s="27"/>
      <c r="B61" s="11" t="str">
        <f>CONCATENATE("          ", "6351", " - ", "EQUIPMENT RENTAL")</f>
        <v xml:space="preserve">          6351 - EQUIPMENT RENTAL</v>
      </c>
      <c r="C61" s="11"/>
      <c r="D61" s="7">
        <v>91.26</v>
      </c>
      <c r="E61" s="2"/>
      <c r="F61" s="6">
        <f t="shared" si="28"/>
        <v>2.6269830829313175E-3</v>
      </c>
      <c r="G61" s="2"/>
      <c r="H61" s="7">
        <v>100</v>
      </c>
      <c r="I61" s="2"/>
      <c r="J61" s="6">
        <f t="shared" si="29"/>
        <v>3.181673560292714E-3</v>
      </c>
      <c r="K61" s="2"/>
      <c r="L61" s="7">
        <f t="shared" si="30"/>
        <v>-8.7399999999999949</v>
      </c>
      <c r="M61" s="2"/>
      <c r="N61" s="6">
        <f t="shared" si="31"/>
        <v>-8.739999999999995E-2</v>
      </c>
      <c r="O61" s="11"/>
      <c r="P61" s="7">
        <v>365.04</v>
      </c>
      <c r="Q61" s="2"/>
      <c r="R61" s="6">
        <f t="shared" si="32"/>
        <v>3.6210256604780964E-4</v>
      </c>
      <c r="S61" s="2"/>
      <c r="T61" s="7">
        <v>400</v>
      </c>
      <c r="U61" s="2"/>
      <c r="V61" s="6">
        <f t="shared" si="33"/>
        <v>2.1364097633926187E-4</v>
      </c>
      <c r="W61" s="2"/>
      <c r="X61" s="7">
        <f t="shared" si="34"/>
        <v>-34.95999999999998</v>
      </c>
      <c r="Y61" s="2"/>
      <c r="Z61" s="6">
        <f t="shared" si="35"/>
        <v>-8.739999999999995E-2</v>
      </c>
    </row>
    <row r="62" spans="1:26" s="28" customFormat="1" outlineLevel="1" collapsed="1" x14ac:dyDescent="0.25">
      <c r="A62" s="29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SUM(OSRRefD22_5x_0)</f>
        <v>13.21</v>
      </c>
      <c r="E62" s="1"/>
      <c r="F62" s="5">
        <f t="shared" si="28"/>
        <v>3.8025911160993541E-4</v>
      </c>
      <c r="G62" s="1"/>
      <c r="H62" s="1">
        <f>SUM(OSRRefH22_5x_0)</f>
        <v>1800</v>
      </c>
      <c r="I62" s="1"/>
      <c r="J62" s="5">
        <f t="shared" si="29"/>
        <v>5.7270124085268853E-2</v>
      </c>
      <c r="K62" s="1"/>
      <c r="L62" s="1">
        <f t="shared" si="30"/>
        <v>-1786.79</v>
      </c>
      <c r="M62" s="1"/>
      <c r="N62" s="5">
        <f t="shared" si="31"/>
        <v>-0.99266111111111111</v>
      </c>
      <c r="O62" s="14"/>
      <c r="P62" s="1">
        <f>SUM(OSRRefP22_5x_0)</f>
        <v>393.75</v>
      </c>
      <c r="Q62" s="1"/>
      <c r="R62" s="5">
        <f t="shared" si="32"/>
        <v>3.9058154005403527E-4</v>
      </c>
      <c r="S62" s="1"/>
      <c r="T62" s="1">
        <f>SUM(OSRRefT22_5x_0)</f>
        <v>3400</v>
      </c>
      <c r="U62" s="1"/>
      <c r="V62" s="5">
        <f t="shared" si="33"/>
        <v>1.8159482988837259E-3</v>
      </c>
      <c r="W62" s="1"/>
      <c r="X62" s="1">
        <f t="shared" si="34"/>
        <v>-3006.25</v>
      </c>
      <c r="Y62" s="1"/>
      <c r="Z62" s="5">
        <f t="shared" si="35"/>
        <v>-0.8841911764705882</v>
      </c>
    </row>
    <row r="63" spans="1:26" s="24" customFormat="1" hidden="1" outlineLevel="2" x14ac:dyDescent="0.25">
      <c r="A63" s="27"/>
      <c r="B63" s="11" t="str">
        <f>CONCATENATE("          ", "6305", " - ", "FREIGHT OUT")</f>
        <v xml:space="preserve">          6305 - FREIGHT OUT</v>
      </c>
      <c r="C63" s="11"/>
      <c r="D63" s="7">
        <v>13.21</v>
      </c>
      <c r="E63" s="2"/>
      <c r="F63" s="6">
        <f t="shared" si="28"/>
        <v>3.8025911160993541E-4</v>
      </c>
      <c r="G63" s="2"/>
      <c r="H63" s="7">
        <v>1800</v>
      </c>
      <c r="I63" s="2"/>
      <c r="J63" s="6">
        <f t="shared" si="29"/>
        <v>5.7270124085268853E-2</v>
      </c>
      <c r="K63" s="2"/>
      <c r="L63" s="7">
        <f t="shared" si="30"/>
        <v>-1786.79</v>
      </c>
      <c r="M63" s="2"/>
      <c r="N63" s="6">
        <f t="shared" si="31"/>
        <v>-0.99266111111111111</v>
      </c>
      <c r="O63" s="11"/>
      <c r="P63" s="7">
        <v>393.75</v>
      </c>
      <c r="Q63" s="2"/>
      <c r="R63" s="6">
        <f t="shared" si="32"/>
        <v>3.9058154005403527E-4</v>
      </c>
      <c r="S63" s="2"/>
      <c r="T63" s="7">
        <v>3400</v>
      </c>
      <c r="U63" s="2"/>
      <c r="V63" s="6">
        <f t="shared" si="33"/>
        <v>1.8159482988837259E-3</v>
      </c>
      <c r="W63" s="2"/>
      <c r="X63" s="7">
        <f t="shared" si="34"/>
        <v>-3006.25</v>
      </c>
      <c r="Y63" s="2"/>
      <c r="Z63" s="6">
        <f t="shared" si="35"/>
        <v>-0.8841911764705882</v>
      </c>
    </row>
    <row r="64" spans="1:26" s="28" customFormat="1" outlineLevel="1" collapsed="1" x14ac:dyDescent="0.25">
      <c r="A64" s="29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SUM(OSRRefD22_6x_0)</f>
        <v>0</v>
      </c>
      <c r="E64" s="1"/>
      <c r="F64" s="5">
        <f t="shared" si="28"/>
        <v>0</v>
      </c>
      <c r="G64" s="1"/>
      <c r="H64" s="1">
        <f>SUM(OSRRefH22_6x_0)</f>
        <v>0</v>
      </c>
      <c r="I64" s="1"/>
      <c r="J64" s="5">
        <f t="shared" si="29"/>
        <v>0</v>
      </c>
      <c r="K64" s="1"/>
      <c r="L64" s="1">
        <f t="shared" si="30"/>
        <v>0</v>
      </c>
      <c r="M64" s="1"/>
      <c r="N64" s="5">
        <f t="shared" si="31"/>
        <v>0</v>
      </c>
      <c r="O64" s="14"/>
      <c r="P64" s="1">
        <f>SUM(OSRRefP22_6x_0)</f>
        <v>0</v>
      </c>
      <c r="Q64" s="1"/>
      <c r="R64" s="5">
        <f t="shared" si="32"/>
        <v>0</v>
      </c>
      <c r="S64" s="1"/>
      <c r="T64" s="1">
        <f>SUM(OSRRefT22_6x_0)</f>
        <v>125</v>
      </c>
      <c r="U64" s="1"/>
      <c r="V64" s="5">
        <f t="shared" si="33"/>
        <v>6.6762805106019337E-5</v>
      </c>
      <c r="W64" s="1"/>
      <c r="X64" s="1">
        <f t="shared" si="34"/>
        <v>-125</v>
      </c>
      <c r="Y64" s="1"/>
      <c r="Z64" s="5">
        <f t="shared" si="35"/>
        <v>-1</v>
      </c>
    </row>
    <row r="65" spans="1:26" s="24" customFormat="1" hidden="1" outlineLevel="2" x14ac:dyDescent="0.25">
      <c r="A65" s="27"/>
      <c r="B65" s="11" t="str">
        <f>CONCATENATE("          ", "6279", " - ", "GENERAL EXPENSE")</f>
        <v xml:space="preserve">          6279 - GENERAL EXPENSE</v>
      </c>
      <c r="C65" s="11"/>
      <c r="D65" s="7"/>
      <c r="E65" s="2"/>
      <c r="F65" s="6">
        <f t="shared" si="28"/>
        <v>0</v>
      </c>
      <c r="G65" s="2"/>
      <c r="H65" s="7">
        <v>0</v>
      </c>
      <c r="I65" s="2"/>
      <c r="J65" s="6">
        <f t="shared" si="29"/>
        <v>0</v>
      </c>
      <c r="K65" s="2"/>
      <c r="L65" s="7">
        <f t="shared" si="30"/>
        <v>0</v>
      </c>
      <c r="M65" s="2"/>
      <c r="N65" s="6">
        <f t="shared" si="31"/>
        <v>0</v>
      </c>
      <c r="O65" s="11"/>
      <c r="P65" s="7"/>
      <c r="Q65" s="2"/>
      <c r="R65" s="6">
        <f t="shared" si="32"/>
        <v>0</v>
      </c>
      <c r="S65" s="2"/>
      <c r="T65" s="7">
        <v>125</v>
      </c>
      <c r="U65" s="2"/>
      <c r="V65" s="6">
        <f t="shared" si="33"/>
        <v>6.6762805106019337E-5</v>
      </c>
      <c r="W65" s="2"/>
      <c r="X65" s="7">
        <f t="shared" si="34"/>
        <v>-125</v>
      </c>
      <c r="Y65" s="2"/>
      <c r="Z65" s="6">
        <f t="shared" si="35"/>
        <v>-1</v>
      </c>
    </row>
    <row r="66" spans="1:26" s="28" customFormat="1" outlineLevel="1" collapsed="1" x14ac:dyDescent="0.25">
      <c r="A66" s="29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SUM(OSRRefD22_7x_0)</f>
        <v>1000</v>
      </c>
      <c r="E66" s="1"/>
      <c r="F66" s="5">
        <f t="shared" si="28"/>
        <v>2.8785701105975427E-2</v>
      </c>
      <c r="G66" s="1"/>
      <c r="H66" s="1">
        <f>SUM(OSRRefH22_7x_0)</f>
        <v>1000</v>
      </c>
      <c r="I66" s="1"/>
      <c r="J66" s="5">
        <f t="shared" si="29"/>
        <v>3.1816735602927138E-2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SUM(OSRRefP22_7x_0)</f>
        <v>4000</v>
      </c>
      <c r="Q66" s="1"/>
      <c r="R66" s="5">
        <f t="shared" si="32"/>
        <v>3.9678124703902001E-3</v>
      </c>
      <c r="S66" s="1"/>
      <c r="T66" s="1">
        <f>SUM(OSRRefT22_7x_0)</f>
        <v>4000</v>
      </c>
      <c r="U66" s="1"/>
      <c r="V66" s="5">
        <f t="shared" si="33"/>
        <v>2.1364097633926188E-3</v>
      </c>
      <c r="W66" s="1"/>
      <c r="X66" s="1">
        <f t="shared" si="34"/>
        <v>0</v>
      </c>
      <c r="Y66" s="1"/>
      <c r="Z66" s="5">
        <f t="shared" si="35"/>
        <v>0</v>
      </c>
    </row>
    <row r="67" spans="1:26" s="24" customFormat="1" hidden="1" outlineLevel="2" x14ac:dyDescent="0.25">
      <c r="A67" s="27"/>
      <c r="B67" s="11" t="str">
        <f>CONCATENATE("          ", "6408", " - ", "INVENTORY ADJUSTMENT")</f>
        <v xml:space="preserve">          6408 - INVENTORY ADJUSTMENT</v>
      </c>
      <c r="C67" s="11"/>
      <c r="D67" s="7">
        <v>1000</v>
      </c>
      <c r="E67" s="2"/>
      <c r="F67" s="6">
        <f t="shared" si="28"/>
        <v>2.8785701105975427E-2</v>
      </c>
      <c r="G67" s="2"/>
      <c r="H67" s="7">
        <v>1000</v>
      </c>
      <c r="I67" s="2"/>
      <c r="J67" s="6">
        <f t="shared" si="29"/>
        <v>3.1816735602927138E-2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>
        <v>4000</v>
      </c>
      <c r="Q67" s="2"/>
      <c r="R67" s="6">
        <f t="shared" si="32"/>
        <v>3.9678124703902001E-3</v>
      </c>
      <c r="S67" s="2"/>
      <c r="T67" s="7">
        <v>4000</v>
      </c>
      <c r="U67" s="2"/>
      <c r="V67" s="6">
        <f t="shared" si="33"/>
        <v>2.1364097633926188E-3</v>
      </c>
      <c r="W67" s="2"/>
      <c r="X67" s="7">
        <f t="shared" si="34"/>
        <v>0</v>
      </c>
      <c r="Y67" s="2"/>
      <c r="Z67" s="6">
        <f t="shared" si="35"/>
        <v>0</v>
      </c>
    </row>
    <row r="68" spans="1:26" s="28" customFormat="1" outlineLevel="1" collapsed="1" x14ac:dyDescent="0.25">
      <c r="A68" s="29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SUM(OSRRefD22_8x_0)</f>
        <v>2932.91</v>
      </c>
      <c r="E68" s="1"/>
      <c r="F68" s="5">
        <f t="shared" si="28"/>
        <v>8.4425870630726388E-2</v>
      </c>
      <c r="G68" s="1"/>
      <c r="H68" s="1">
        <f>SUM(OSRRefH22_8x_0)</f>
        <v>80</v>
      </c>
      <c r="I68" s="1"/>
      <c r="J68" s="5">
        <f t="shared" si="29"/>
        <v>2.5453388482341711E-3</v>
      </c>
      <c r="K68" s="1"/>
      <c r="L68" s="1">
        <f t="shared" si="30"/>
        <v>2852.91</v>
      </c>
      <c r="M68" s="1"/>
      <c r="N68" s="5">
        <f t="shared" si="31"/>
        <v>35.661375</v>
      </c>
      <c r="O68" s="14"/>
      <c r="P68" s="1">
        <f>SUM(OSRRefP22_8x_0)</f>
        <v>5833.44</v>
      </c>
      <c r="Q68" s="1"/>
      <c r="R68" s="5">
        <f t="shared" si="32"/>
        <v>5.7864989943182512E-3</v>
      </c>
      <c r="S68" s="1"/>
      <c r="T68" s="1">
        <f>SUM(OSRRefT22_8x_0)</f>
        <v>320</v>
      </c>
      <c r="U68" s="1"/>
      <c r="V68" s="5">
        <f t="shared" si="33"/>
        <v>1.7091278107140949E-4</v>
      </c>
      <c r="W68" s="1"/>
      <c r="X68" s="1">
        <f t="shared" si="34"/>
        <v>5513.44</v>
      </c>
      <c r="Y68" s="1"/>
      <c r="Z68" s="5">
        <f t="shared" si="35"/>
        <v>17.229499999999998</v>
      </c>
    </row>
    <row r="69" spans="1:26" s="24" customFormat="1" hidden="1" outlineLevel="2" x14ac:dyDescent="0.25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7">
        <v>2887.5</v>
      </c>
      <c r="E69" s="2"/>
      <c r="F69" s="6">
        <f t="shared" si="28"/>
        <v>8.3118711943504051E-2</v>
      </c>
      <c r="G69" s="2"/>
      <c r="H69" s="7"/>
      <c r="I69" s="2"/>
      <c r="J69" s="6">
        <f t="shared" si="29"/>
        <v>0</v>
      </c>
      <c r="K69" s="2"/>
      <c r="L69" s="7">
        <f t="shared" si="30"/>
        <v>2887.5</v>
      </c>
      <c r="M69" s="2"/>
      <c r="N69" s="6">
        <f t="shared" si="31"/>
        <v>0</v>
      </c>
      <c r="O69" s="11"/>
      <c r="P69" s="7">
        <v>5775</v>
      </c>
      <c r="Q69" s="2"/>
      <c r="R69" s="6">
        <f t="shared" si="32"/>
        <v>5.728529254125851E-3</v>
      </c>
      <c r="S69" s="2"/>
      <c r="T69" s="7"/>
      <c r="U69" s="2"/>
      <c r="V69" s="6">
        <f t="shared" si="33"/>
        <v>0</v>
      </c>
      <c r="W69" s="2"/>
      <c r="X69" s="7">
        <f t="shared" si="34"/>
        <v>5775</v>
      </c>
      <c r="Y69" s="2"/>
      <c r="Z69" s="6">
        <f t="shared" si="35"/>
        <v>0</v>
      </c>
    </row>
    <row r="70" spans="1:26" s="24" customFormat="1" hidden="1" outlineLevel="2" x14ac:dyDescent="0.25">
      <c r="A70" s="27"/>
      <c r="B70" s="11" t="str">
        <f>CONCATENATE("          ", "6373", " - ", "MAINTENANCE CONTRACTS")</f>
        <v xml:space="preserve">          6373 - MAINTENANCE CONTRACTS</v>
      </c>
      <c r="C70" s="11"/>
      <c r="D70" s="7">
        <v>45.41</v>
      </c>
      <c r="E70" s="2"/>
      <c r="F70" s="6">
        <f t="shared" si="28"/>
        <v>1.307158687222344E-3</v>
      </c>
      <c r="G70" s="2"/>
      <c r="H70" s="7">
        <v>40</v>
      </c>
      <c r="I70" s="2"/>
      <c r="J70" s="6">
        <f t="shared" si="29"/>
        <v>1.2726694241170856E-3</v>
      </c>
      <c r="K70" s="2"/>
      <c r="L70" s="7">
        <f t="shared" si="30"/>
        <v>5.4099999999999966</v>
      </c>
      <c r="M70" s="2"/>
      <c r="N70" s="6">
        <f t="shared" si="31"/>
        <v>0.13524999999999993</v>
      </c>
      <c r="O70" s="11"/>
      <c r="P70" s="7">
        <v>58.44</v>
      </c>
      <c r="Q70" s="2"/>
      <c r="R70" s="6">
        <f t="shared" si="32"/>
        <v>5.7969740192400814E-5</v>
      </c>
      <c r="S70" s="2"/>
      <c r="T70" s="7">
        <v>160</v>
      </c>
      <c r="U70" s="2"/>
      <c r="V70" s="6">
        <f t="shared" si="33"/>
        <v>8.5456390535704744E-5</v>
      </c>
      <c r="W70" s="2"/>
      <c r="X70" s="7">
        <f t="shared" si="34"/>
        <v>-101.56</v>
      </c>
      <c r="Y70" s="2"/>
      <c r="Z70" s="6">
        <f t="shared" si="35"/>
        <v>-0.63475000000000004</v>
      </c>
    </row>
    <row r="71" spans="1:26" s="24" customFormat="1" hidden="1" outlineLevel="2" x14ac:dyDescent="0.25">
      <c r="A71" s="27"/>
      <c r="B71" s="11" t="str">
        <f>CONCATENATE("          ", "6375", " - ", "OUTSIDE REPAIRS &amp; MAINTENANCE")</f>
        <v xml:space="preserve">          6375 - OUTSIDE REPAIRS &amp; MAINTENANCE</v>
      </c>
      <c r="C71" s="11"/>
      <c r="D71" s="7"/>
      <c r="E71" s="2"/>
      <c r="F71" s="6">
        <f t="shared" si="28"/>
        <v>0</v>
      </c>
      <c r="G71" s="2"/>
      <c r="H71" s="7">
        <v>40</v>
      </c>
      <c r="I71" s="2"/>
      <c r="J71" s="6">
        <f t="shared" si="29"/>
        <v>1.2726694241170856E-3</v>
      </c>
      <c r="K71" s="2"/>
      <c r="L71" s="7">
        <f t="shared" si="30"/>
        <v>-40</v>
      </c>
      <c r="M71" s="2"/>
      <c r="N71" s="6">
        <f t="shared" si="31"/>
        <v>-1</v>
      </c>
      <c r="O71" s="11"/>
      <c r="P71" s="7"/>
      <c r="Q71" s="2"/>
      <c r="R71" s="6">
        <f t="shared" si="32"/>
        <v>0</v>
      </c>
      <c r="S71" s="2"/>
      <c r="T71" s="7">
        <v>160</v>
      </c>
      <c r="U71" s="2"/>
      <c r="V71" s="6">
        <f t="shared" si="33"/>
        <v>8.5456390535704744E-5</v>
      </c>
      <c r="W71" s="2"/>
      <c r="X71" s="7">
        <f t="shared" si="34"/>
        <v>-160</v>
      </c>
      <c r="Y71" s="2"/>
      <c r="Z71" s="6">
        <f t="shared" si="35"/>
        <v>-1</v>
      </c>
    </row>
    <row r="72" spans="1:26" s="28" customFormat="1" outlineLevel="1" collapsed="1" x14ac:dyDescent="0.25">
      <c r="A72" s="29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SUM(OSRRefD22_9x_0)</f>
        <v>904.08</v>
      </c>
      <c r="E72" s="1"/>
      <c r="F72" s="5">
        <f t="shared" ref="F72:F76" si="36">IF(D$12=0,0,D72/D$12)</f>
        <v>2.6024576655890266E-2</v>
      </c>
      <c r="G72" s="1"/>
      <c r="H72" s="1">
        <f>SUM(OSRRefH22_9x_0)</f>
        <v>300</v>
      </c>
      <c r="I72" s="1"/>
      <c r="J72" s="5">
        <f t="shared" ref="J72:J76" si="37">IF(H$12=0,0,H72/H$12)</f>
        <v>9.5450206808781416E-3</v>
      </c>
      <c r="K72" s="1"/>
      <c r="L72" s="1">
        <f t="shared" ref="L72:L76" si="38">+D72-H72</f>
        <v>604.08000000000004</v>
      </c>
      <c r="M72" s="1"/>
      <c r="N72" s="5">
        <f t="shared" ref="N72:N76" si="39">IF(H72=0,0,L72/H72)</f>
        <v>2.0136000000000003</v>
      </c>
      <c r="O72" s="14"/>
      <c r="P72" s="1">
        <f>SUM(OSRRefP22_9x_0)</f>
        <v>1076.8399999999999</v>
      </c>
      <c r="Q72" s="1"/>
      <c r="R72" s="5">
        <f t="shared" ref="R72:R76" si="40">IF(P$12=0,0,P72/P$12)</f>
        <v>1.0681747951537457E-3</v>
      </c>
      <c r="S72" s="1"/>
      <c r="T72" s="1">
        <f>SUM(OSRRefT22_9x_0)</f>
        <v>1200</v>
      </c>
      <c r="U72" s="1"/>
      <c r="V72" s="5">
        <f t="shared" ref="V72:V76" si="41">IF(T$12=0,0,T72/T$12)</f>
        <v>6.4092292901778559E-4</v>
      </c>
      <c r="W72" s="1"/>
      <c r="X72" s="1">
        <f t="shared" ref="X72:X76" si="42">+P72-T72</f>
        <v>-123.16000000000008</v>
      </c>
      <c r="Y72" s="1"/>
      <c r="Z72" s="5">
        <f t="shared" ref="Z72:Z76" si="43">IF(T72=0,0,X72/T72)</f>
        <v>-0.1026333333333334</v>
      </c>
    </row>
    <row r="73" spans="1:26" s="24" customFormat="1" hidden="1" outlineLevel="2" x14ac:dyDescent="0.25">
      <c r="A73" s="27"/>
      <c r="B73" s="11" t="str">
        <f>CONCATENATE("          ", "6258", " - ", "MEMBERSHIP DUES")</f>
        <v xml:space="preserve">          6258 - MEMBERSHIP DUES</v>
      </c>
      <c r="C73" s="11"/>
      <c r="D73" s="7">
        <v>904.08</v>
      </c>
      <c r="E73" s="2"/>
      <c r="F73" s="6">
        <f t="shared" si="36"/>
        <v>2.6024576655890266E-2</v>
      </c>
      <c r="G73" s="2"/>
      <c r="H73" s="7">
        <v>300</v>
      </c>
      <c r="I73" s="2"/>
      <c r="J73" s="6">
        <f t="shared" si="37"/>
        <v>9.5450206808781416E-3</v>
      </c>
      <c r="K73" s="2"/>
      <c r="L73" s="7">
        <f t="shared" si="38"/>
        <v>604.08000000000004</v>
      </c>
      <c r="M73" s="2"/>
      <c r="N73" s="6">
        <f t="shared" si="39"/>
        <v>2.0136000000000003</v>
      </c>
      <c r="O73" s="11"/>
      <c r="P73" s="7">
        <v>1076.8399999999999</v>
      </c>
      <c r="Q73" s="2"/>
      <c r="R73" s="6">
        <f t="shared" si="40"/>
        <v>1.0681747951537457E-3</v>
      </c>
      <c r="S73" s="2"/>
      <c r="T73" s="7">
        <v>1200</v>
      </c>
      <c r="U73" s="2"/>
      <c r="V73" s="6">
        <f t="shared" si="41"/>
        <v>6.4092292901778559E-4</v>
      </c>
      <c r="W73" s="2"/>
      <c r="X73" s="7">
        <f t="shared" si="42"/>
        <v>-123.16000000000008</v>
      </c>
      <c r="Y73" s="2"/>
      <c r="Z73" s="6">
        <f t="shared" si="43"/>
        <v>-0.1026333333333334</v>
      </c>
    </row>
    <row r="74" spans="1:26" s="28" customFormat="1" outlineLevel="1" collapsed="1" x14ac:dyDescent="0.25">
      <c r="A74" s="29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SUM(OSRRefD22_10x_0)</f>
        <v>127.04</v>
      </c>
      <c r="E74" s="1"/>
      <c r="F74" s="5">
        <f t="shared" si="36"/>
        <v>3.6569354685031183E-3</v>
      </c>
      <c r="G74" s="1"/>
      <c r="H74" s="1">
        <f>SUM(OSRRefH22_10x_0)</f>
        <v>600</v>
      </c>
      <c r="I74" s="1"/>
      <c r="J74" s="5">
        <f t="shared" si="37"/>
        <v>1.9090041361756283E-2</v>
      </c>
      <c r="K74" s="1"/>
      <c r="L74" s="1">
        <f t="shared" si="38"/>
        <v>-472.96</v>
      </c>
      <c r="M74" s="1"/>
      <c r="N74" s="5">
        <f t="shared" si="39"/>
        <v>-0.78826666666666667</v>
      </c>
      <c r="O74" s="14"/>
      <c r="P74" s="1">
        <f>SUM(OSRRefP22_10x_0)</f>
        <v>736.93</v>
      </c>
      <c r="Q74" s="1"/>
      <c r="R74" s="5">
        <f t="shared" si="40"/>
        <v>7.3100001095116238E-4</v>
      </c>
      <c r="S74" s="1"/>
      <c r="T74" s="1">
        <f>SUM(OSRRefT22_10x_0)</f>
        <v>3000</v>
      </c>
      <c r="U74" s="1"/>
      <c r="V74" s="5">
        <f t="shared" si="41"/>
        <v>1.6023073225444641E-3</v>
      </c>
      <c r="W74" s="1"/>
      <c r="X74" s="1">
        <f t="shared" si="42"/>
        <v>-2263.0700000000002</v>
      </c>
      <c r="Y74" s="1"/>
      <c r="Z74" s="5">
        <f t="shared" si="43"/>
        <v>-0.75435666666666668</v>
      </c>
    </row>
    <row r="75" spans="1:26" s="24" customFormat="1" hidden="1" outlineLevel="2" x14ac:dyDescent="0.25">
      <c r="A75" s="27"/>
      <c r="B75" s="11" t="str">
        <f>CONCATENATE("          ", "6241", " - ", "OFFICE EXPENSE")</f>
        <v xml:space="preserve">          6241 - OFFICE EXPENSE</v>
      </c>
      <c r="C75" s="11"/>
      <c r="D75" s="7">
        <v>127.04</v>
      </c>
      <c r="E75" s="2"/>
      <c r="F75" s="6">
        <f t="shared" si="36"/>
        <v>3.6569354685031183E-3</v>
      </c>
      <c r="G75" s="2"/>
      <c r="H75" s="7">
        <v>300</v>
      </c>
      <c r="I75" s="2"/>
      <c r="J75" s="6">
        <f t="shared" si="37"/>
        <v>9.5450206808781416E-3</v>
      </c>
      <c r="K75" s="2"/>
      <c r="L75" s="7">
        <f t="shared" si="38"/>
        <v>-172.95999999999998</v>
      </c>
      <c r="M75" s="2"/>
      <c r="N75" s="6">
        <f t="shared" si="39"/>
        <v>-0.57653333333333323</v>
      </c>
      <c r="O75" s="11"/>
      <c r="P75" s="7">
        <v>736.93</v>
      </c>
      <c r="Q75" s="2"/>
      <c r="R75" s="6">
        <f t="shared" si="40"/>
        <v>7.3100001095116238E-4</v>
      </c>
      <c r="S75" s="2"/>
      <c r="T75" s="7">
        <v>1500</v>
      </c>
      <c r="U75" s="2"/>
      <c r="V75" s="6">
        <f t="shared" si="41"/>
        <v>8.0115366127223205E-4</v>
      </c>
      <c r="W75" s="2"/>
      <c r="X75" s="7">
        <f t="shared" si="42"/>
        <v>-763.07</v>
      </c>
      <c r="Y75" s="2"/>
      <c r="Z75" s="6">
        <f t="shared" si="43"/>
        <v>-0.50871333333333335</v>
      </c>
    </row>
    <row r="76" spans="1:26" s="24" customFormat="1" hidden="1" outlineLevel="2" x14ac:dyDescent="0.25">
      <c r="A76" s="27"/>
      <c r="B76" s="11" t="str">
        <f>CONCATENATE("          ", "6247", " - ", "STORE SUPPLIES")</f>
        <v xml:space="preserve">          6247 - STORE SUPPLIES</v>
      </c>
      <c r="C76" s="11"/>
      <c r="D76" s="7"/>
      <c r="E76" s="2"/>
      <c r="F76" s="6">
        <f t="shared" si="36"/>
        <v>0</v>
      </c>
      <c r="G76" s="2"/>
      <c r="H76" s="7">
        <v>300</v>
      </c>
      <c r="I76" s="2"/>
      <c r="J76" s="6">
        <f t="shared" si="37"/>
        <v>9.5450206808781416E-3</v>
      </c>
      <c r="K76" s="2"/>
      <c r="L76" s="7">
        <f t="shared" si="38"/>
        <v>-300</v>
      </c>
      <c r="M76" s="2"/>
      <c r="N76" s="6">
        <f t="shared" si="39"/>
        <v>-1</v>
      </c>
      <c r="O76" s="11"/>
      <c r="P76" s="7"/>
      <c r="Q76" s="2"/>
      <c r="R76" s="6">
        <f t="shared" si="40"/>
        <v>0</v>
      </c>
      <c r="S76" s="2"/>
      <c r="T76" s="7">
        <v>1500</v>
      </c>
      <c r="U76" s="2"/>
      <c r="V76" s="6">
        <f t="shared" si="41"/>
        <v>8.0115366127223205E-4</v>
      </c>
      <c r="W76" s="2"/>
      <c r="X76" s="7">
        <f t="shared" si="42"/>
        <v>-1500</v>
      </c>
      <c r="Y76" s="2"/>
      <c r="Z76" s="6">
        <f t="shared" si="43"/>
        <v>-1</v>
      </c>
    </row>
    <row r="77" spans="1:26" s="28" customFormat="1" outlineLevel="1" collapsed="1" x14ac:dyDescent="0.25">
      <c r="A77" s="29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SUM(OSRRefD22_11x_0)</f>
        <v>611.9</v>
      </c>
      <c r="E77" s="1"/>
      <c r="F77" s="5">
        <f t="shared" ref="F77:F79" si="44">IF(D$12=0,0,D77/D$12)</f>
        <v>1.7613970506746363E-2</v>
      </c>
      <c r="G77" s="1"/>
      <c r="H77" s="1">
        <f>SUM(OSRRefH22_11x_0)</f>
        <v>350</v>
      </c>
      <c r="I77" s="1"/>
      <c r="J77" s="5">
        <f t="shared" ref="J77:J79" si="45">IF(H$12=0,0,H77/H$12)</f>
        <v>1.1135857461024499E-2</v>
      </c>
      <c r="K77" s="1"/>
      <c r="L77" s="1">
        <f t="shared" ref="L77:L79" si="46">+D77-H77</f>
        <v>261.89999999999998</v>
      </c>
      <c r="M77" s="1"/>
      <c r="N77" s="5">
        <f t="shared" ref="N77:N79" si="47">IF(H77=0,0,L77/H77)</f>
        <v>0.74828571428571422</v>
      </c>
      <c r="O77" s="14"/>
      <c r="P77" s="1">
        <f>SUM(OSRRefP22_11x_0)</f>
        <v>2455.0500000000002</v>
      </c>
      <c r="Q77" s="1"/>
      <c r="R77" s="5">
        <f t="shared" ref="R77:R79" si="48">IF(P$12=0,0,P77/P$12)</f>
        <v>2.4352945013578651E-3</v>
      </c>
      <c r="S77" s="1"/>
      <c r="T77" s="1">
        <f>SUM(OSRRefT22_11x_0)</f>
        <v>1750</v>
      </c>
      <c r="U77" s="1"/>
      <c r="V77" s="5">
        <f t="shared" ref="V77:V79" si="49">IF(T$12=0,0,T77/T$12)</f>
        <v>9.3467927148427072E-4</v>
      </c>
      <c r="W77" s="1"/>
      <c r="X77" s="1">
        <f t="shared" ref="X77:X79" si="50">+P77-T77</f>
        <v>705.05000000000018</v>
      </c>
      <c r="Y77" s="1"/>
      <c r="Z77" s="5">
        <f t="shared" ref="Z77:Z79" si="51">IF(T77=0,0,X77/T77)</f>
        <v>0.4028857142857144</v>
      </c>
    </row>
    <row r="78" spans="1:26" s="24" customFormat="1" hidden="1" outlineLevel="2" x14ac:dyDescent="0.25">
      <c r="A78" s="27"/>
      <c r="B78" s="11" t="str">
        <f>CONCATENATE("          ", "6303", " - ", "DATA PHONE LINES")</f>
        <v xml:space="preserve">          6303 - DATA PHONE LINES</v>
      </c>
      <c r="C78" s="11"/>
      <c r="D78" s="7"/>
      <c r="E78" s="2"/>
      <c r="F78" s="6">
        <f t="shared" si="44"/>
        <v>0</v>
      </c>
      <c r="G78" s="2"/>
      <c r="H78" s="7">
        <v>0</v>
      </c>
      <c r="I78" s="2"/>
      <c r="J78" s="6">
        <f t="shared" si="45"/>
        <v>0</v>
      </c>
      <c r="K78" s="2"/>
      <c r="L78" s="7">
        <f t="shared" si="46"/>
        <v>0</v>
      </c>
      <c r="M78" s="2"/>
      <c r="N78" s="6">
        <f t="shared" si="47"/>
        <v>0</v>
      </c>
      <c r="O78" s="11"/>
      <c r="P78" s="7">
        <v>295</v>
      </c>
      <c r="Q78" s="2"/>
      <c r="R78" s="6">
        <f t="shared" si="48"/>
        <v>2.9262616969127724E-4</v>
      </c>
      <c r="S78" s="2"/>
      <c r="T78" s="7">
        <v>0</v>
      </c>
      <c r="U78" s="2"/>
      <c r="V78" s="6">
        <f t="shared" si="49"/>
        <v>0</v>
      </c>
      <c r="W78" s="2"/>
      <c r="X78" s="7">
        <f t="shared" si="50"/>
        <v>295</v>
      </c>
      <c r="Y78" s="2"/>
      <c r="Z78" s="6">
        <f t="shared" si="51"/>
        <v>0</v>
      </c>
    </row>
    <row r="79" spans="1:26" s="24" customFormat="1" hidden="1" outlineLevel="2" x14ac:dyDescent="0.25">
      <c r="A79" s="27"/>
      <c r="B79" s="11" t="str">
        <f>CONCATENATE("          ", "6309", " - ", "TELEPHONE")</f>
        <v xml:space="preserve">          6309 - TELEPHONE</v>
      </c>
      <c r="C79" s="11"/>
      <c r="D79" s="7">
        <v>611.9</v>
      </c>
      <c r="E79" s="2"/>
      <c r="F79" s="6">
        <f t="shared" si="44"/>
        <v>1.7613970506746363E-2</v>
      </c>
      <c r="G79" s="2"/>
      <c r="H79" s="7">
        <v>350</v>
      </c>
      <c r="I79" s="2"/>
      <c r="J79" s="6">
        <f t="shared" si="45"/>
        <v>1.1135857461024499E-2</v>
      </c>
      <c r="K79" s="2"/>
      <c r="L79" s="7">
        <f t="shared" si="46"/>
        <v>261.89999999999998</v>
      </c>
      <c r="M79" s="2"/>
      <c r="N79" s="6">
        <f t="shared" si="47"/>
        <v>0.74828571428571422</v>
      </c>
      <c r="O79" s="11"/>
      <c r="P79" s="7">
        <v>2160.0500000000002</v>
      </c>
      <c r="Q79" s="2"/>
      <c r="R79" s="6">
        <f t="shared" si="48"/>
        <v>2.1426683316665878E-3</v>
      </c>
      <c r="S79" s="2"/>
      <c r="T79" s="7">
        <v>1750</v>
      </c>
      <c r="U79" s="2"/>
      <c r="V79" s="6">
        <f t="shared" si="49"/>
        <v>9.3467927148427072E-4</v>
      </c>
      <c r="W79" s="2"/>
      <c r="X79" s="7">
        <f t="shared" si="50"/>
        <v>410.05000000000018</v>
      </c>
      <c r="Y79" s="2"/>
      <c r="Z79" s="6">
        <f t="shared" si="51"/>
        <v>0.23431428571428581</v>
      </c>
    </row>
    <row r="80" spans="1:26" s="60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collapsed="1" x14ac:dyDescent="0.25">
      <c r="A81" s="10"/>
      <c r="B81" s="25" t="s">
        <v>293</v>
      </c>
      <c r="C81" s="10"/>
      <c r="D81" s="4">
        <f>SUM(OSRRefD25x_0)</f>
        <v>1715.4099999999999</v>
      </c>
      <c r="E81" s="4"/>
      <c r="F81" s="12">
        <f t="shared" ref="F81:F85" si="52">IF(D$12=0,0,D81/D$12)</f>
        <v>4.9379279534201306E-2</v>
      </c>
      <c r="G81" s="4"/>
      <c r="H81" s="4">
        <f>SUM(OSRRefH25x_0)</f>
        <v>303</v>
      </c>
      <c r="I81" s="4"/>
      <c r="J81" s="12">
        <f t="shared" ref="J81:J85" si="53">IF(H$12=0,0,H81/H$12)</f>
        <v>9.6404708876869239E-3</v>
      </c>
      <c r="K81" s="4"/>
      <c r="L81" s="4">
        <f t="shared" ref="L81:L85" si="54">+D81-H81</f>
        <v>1412.4099999999999</v>
      </c>
      <c r="M81" s="4"/>
      <c r="N81" s="12">
        <f t="shared" ref="N81:N85" si="55">IF(H81=0,0,L81/H81)</f>
        <v>4.661419141914191</v>
      </c>
      <c r="O81" s="10"/>
      <c r="P81" s="4">
        <f>SUM(OSRRefP25x_0)</f>
        <v>189671.88999999998</v>
      </c>
      <c r="Q81" s="4"/>
      <c r="R81" s="12">
        <f t="shared" ref="R81:R85" si="56">IF(P$12=0,0,P81/P$12)</f>
        <v>0.18814562260611956</v>
      </c>
      <c r="S81" s="4"/>
      <c r="T81" s="4">
        <f>SUM(OSRRefT25x_0)</f>
        <v>178009.5</v>
      </c>
      <c r="U81" s="4"/>
      <c r="V81" s="12">
        <f t="shared" ref="V81:V85" si="57">IF(T$12=0,0,T81/T$12)</f>
        <v>9.5075308444159595E-2</v>
      </c>
      <c r="W81" s="4"/>
      <c r="X81" s="4">
        <f t="shared" ref="X81:X85" si="58">+P81-T81</f>
        <v>11662.389999999985</v>
      </c>
      <c r="Y81" s="4"/>
      <c r="Z81" s="12">
        <f t="shared" ref="Z81:Z85" si="59">IF(T81=0,0,X81/T81)</f>
        <v>6.5515548327476816E-2</v>
      </c>
    </row>
    <row r="82" spans="1:26" s="24" customFormat="1" hidden="1" outlineLevel="1" x14ac:dyDescent="0.25">
      <c r="A82" s="44"/>
      <c r="B82" s="11" t="str">
        <f>CONCATENATE("          ", "9150", " - ", "MISC. INCOME")</f>
        <v xml:space="preserve">          9150 - MISC. INCOME</v>
      </c>
      <c r="C82" s="11"/>
      <c r="D82" s="2">
        <f>--1458.11</f>
        <v>1458.11</v>
      </c>
      <c r="E82" s="2"/>
      <c r="F82" s="19">
        <f t="shared" si="52"/>
        <v>4.1972718639633824E-2</v>
      </c>
      <c r="G82" s="2"/>
      <c r="H82" s="2">
        <v>303</v>
      </c>
      <c r="I82" s="2"/>
      <c r="J82" s="19">
        <f t="shared" si="53"/>
        <v>9.6404708876869239E-3</v>
      </c>
      <c r="K82" s="2"/>
      <c r="L82" s="2">
        <f t="shared" si="54"/>
        <v>1155.1099999999999</v>
      </c>
      <c r="M82" s="2"/>
      <c r="N82" s="19">
        <f t="shared" si="55"/>
        <v>3.8122442244224417</v>
      </c>
      <c r="O82" s="11"/>
      <c r="P82" s="2">
        <f>--19013.12</f>
        <v>19013.12</v>
      </c>
      <c r="Q82" s="2"/>
      <c r="R82" s="19">
        <f t="shared" si="56"/>
        <v>1.8860123659256326E-2</v>
      </c>
      <c r="S82" s="2"/>
      <c r="T82" s="2">
        <v>16029</v>
      </c>
      <c r="U82" s="2"/>
      <c r="V82" s="19">
        <f t="shared" si="57"/>
        <v>8.5611280243550712E-3</v>
      </c>
      <c r="W82" s="2"/>
      <c r="X82" s="2">
        <f t="shared" si="58"/>
        <v>2984.119999999999</v>
      </c>
      <c r="Y82" s="2"/>
      <c r="Z82" s="19">
        <f t="shared" si="59"/>
        <v>0.1861700667540083</v>
      </c>
    </row>
    <row r="83" spans="1:26" s="24" customFormat="1" hidden="1" outlineLevel="1" x14ac:dyDescent="0.25">
      <c r="A83" s="44"/>
      <c r="B83" s="11" t="str">
        <f>CONCATENATE("          ", "9151", " - ", "MISC. INCOME")</f>
        <v xml:space="preserve">          9151 - MISC. INCOME</v>
      </c>
      <c r="C83" s="11"/>
      <c r="D83" s="2">
        <f>0</f>
        <v>0</v>
      </c>
      <c r="E83" s="2"/>
      <c r="F83" s="19">
        <f t="shared" si="52"/>
        <v>0</v>
      </c>
      <c r="G83" s="2"/>
      <c r="H83" s="2"/>
      <c r="I83" s="2"/>
      <c r="J83" s="19">
        <f t="shared" si="53"/>
        <v>0</v>
      </c>
      <c r="K83" s="2"/>
      <c r="L83" s="2">
        <f t="shared" si="54"/>
        <v>0</v>
      </c>
      <c r="M83" s="2"/>
      <c r="N83" s="19">
        <f t="shared" si="55"/>
        <v>0</v>
      </c>
      <c r="O83" s="11"/>
      <c r="P83" s="2">
        <f>--168463.36</f>
        <v>168463.35999999999</v>
      </c>
      <c r="Q83" s="2"/>
      <c r="R83" s="19">
        <f t="shared" si="56"/>
        <v>0.16710775515295836</v>
      </c>
      <c r="S83" s="2"/>
      <c r="T83" s="2">
        <v>161980.5</v>
      </c>
      <c r="U83" s="2"/>
      <c r="V83" s="19">
        <f t="shared" si="57"/>
        <v>8.6514180419804521E-2</v>
      </c>
      <c r="W83" s="2"/>
      <c r="X83" s="2">
        <f t="shared" si="58"/>
        <v>6482.859999999986</v>
      </c>
      <c r="Y83" s="2"/>
      <c r="Z83" s="19">
        <f t="shared" si="59"/>
        <v>4.0022471840746178E-2</v>
      </c>
    </row>
    <row r="84" spans="1:26" s="24" customFormat="1" hidden="1" outlineLevel="1" x14ac:dyDescent="0.25">
      <c r="A84" s="44"/>
      <c r="B84" s="11" t="str">
        <f>CONCATENATE("          ", "9152", " - ", "MISC. INCOME")</f>
        <v xml:space="preserve">          9152 - MISC. INCOME</v>
      </c>
      <c r="C84" s="11"/>
      <c r="D84" s="2">
        <f>--257.3</f>
        <v>257.3</v>
      </c>
      <c r="E84" s="2"/>
      <c r="F84" s="19">
        <f t="shared" si="52"/>
        <v>7.4065608945674778E-3</v>
      </c>
      <c r="G84" s="2"/>
      <c r="H84" s="2"/>
      <c r="I84" s="2"/>
      <c r="J84" s="19">
        <f t="shared" si="53"/>
        <v>0</v>
      </c>
      <c r="K84" s="2"/>
      <c r="L84" s="2">
        <f t="shared" si="54"/>
        <v>257.3</v>
      </c>
      <c r="M84" s="2"/>
      <c r="N84" s="19">
        <f t="shared" si="55"/>
        <v>0</v>
      </c>
      <c r="O84" s="11"/>
      <c r="P84" s="2">
        <f>--2195.41</f>
        <v>2195.41</v>
      </c>
      <c r="Q84" s="2"/>
      <c r="R84" s="19">
        <f t="shared" si="56"/>
        <v>2.177743793904837E-3</v>
      </c>
      <c r="S84" s="2"/>
      <c r="T84" s="2"/>
      <c r="U84" s="2"/>
      <c r="V84" s="19">
        <f t="shared" si="57"/>
        <v>0</v>
      </c>
      <c r="W84" s="2"/>
      <c r="X84" s="2">
        <f t="shared" si="58"/>
        <v>2195.41</v>
      </c>
      <c r="Y84" s="2"/>
      <c r="Z84" s="19">
        <f t="shared" si="59"/>
        <v>0</v>
      </c>
    </row>
    <row r="85" spans="1:26" s="24" customFormat="1" hidden="1" outlineLevel="1" x14ac:dyDescent="0.25">
      <c r="A85" s="44"/>
      <c r="B85" s="11" t="str">
        <f>CONCATENATE("          ", "9160", " - ", "MISC. INCOME")</f>
        <v xml:space="preserve">          9160 - MISC. INCOME</v>
      </c>
      <c r="C85" s="11"/>
      <c r="D85" s="2">
        <f>0</f>
        <v>0</v>
      </c>
      <c r="E85" s="2"/>
      <c r="F85" s="19">
        <f t="shared" si="52"/>
        <v>0</v>
      </c>
      <c r="G85" s="2"/>
      <c r="H85" s="2">
        <v>0</v>
      </c>
      <c r="I85" s="2"/>
      <c r="J85" s="19">
        <f t="shared" si="53"/>
        <v>0</v>
      </c>
      <c r="K85" s="2"/>
      <c r="L85" s="2">
        <f t="shared" si="54"/>
        <v>0</v>
      </c>
      <c r="M85" s="2"/>
      <c r="N85" s="19">
        <f t="shared" si="55"/>
        <v>0</v>
      </c>
      <c r="O85" s="11"/>
      <c r="P85" s="2">
        <f>0</f>
        <v>0</v>
      </c>
      <c r="Q85" s="2"/>
      <c r="R85" s="19">
        <f t="shared" si="56"/>
        <v>0</v>
      </c>
      <c r="S85" s="2"/>
      <c r="T85" s="2">
        <v>0</v>
      </c>
      <c r="U85" s="2"/>
      <c r="V85" s="19">
        <f t="shared" si="57"/>
        <v>0</v>
      </c>
      <c r="W85" s="2"/>
      <c r="X85" s="2">
        <f t="shared" si="58"/>
        <v>0</v>
      </c>
      <c r="Y85" s="2"/>
      <c r="Z85" s="19">
        <f t="shared" si="59"/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6" t="s">
        <v>277</v>
      </c>
      <c r="C87" s="26"/>
      <c r="D87" s="21">
        <f>+D31-D33+D81</f>
        <v>-32876.240000000005</v>
      </c>
      <c r="E87" s="13"/>
      <c r="F87" s="20">
        <f>IF(D$12=0,0,D87/D$12)</f>
        <v>-0.94636561812831377</v>
      </c>
      <c r="G87" s="13"/>
      <c r="H87" s="21">
        <f>+H31-H33+H81</f>
        <v>-44535.137548737199</v>
      </c>
      <c r="I87" s="13"/>
      <c r="J87" s="20">
        <f>IF(H$12=0,0,H87/H$12)</f>
        <v>-1.4169626964281641</v>
      </c>
      <c r="K87" s="15"/>
      <c r="L87" s="21">
        <f>+D87-H87</f>
        <v>11658.897548737194</v>
      </c>
      <c r="M87" s="15"/>
      <c r="N87" s="20">
        <f>IF(H87=0,0,L87/H87)</f>
        <v>-0.26179098551067087</v>
      </c>
      <c r="O87" s="25"/>
      <c r="P87" s="21">
        <f>+P31-P33+P81</f>
        <v>162018.83999999991</v>
      </c>
      <c r="Q87" s="13"/>
      <c r="R87" s="20">
        <f>IF(P$12=0,0,P87/P$12)</f>
        <v>0.16071509344753854</v>
      </c>
      <c r="S87" s="13"/>
      <c r="T87" s="21">
        <f>+T31-T33+T81</f>
        <v>473179.85960454616</v>
      </c>
      <c r="U87" s="13"/>
      <c r="V87" s="20">
        <f>IF(T$12=0,0,T87/T$12)</f>
        <v>0.25272651797497525</v>
      </c>
      <c r="W87" s="15"/>
      <c r="X87" s="21">
        <f>+P87-T87</f>
        <v>-311161.01960454625</v>
      </c>
      <c r="Y87" s="15"/>
      <c r="Z87" s="20">
        <f>IF(T87=0,0,X87/T87)</f>
        <v>-0.65759565477828019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128</v>
      </c>
      <c r="C89" s="10"/>
      <c r="D89" s="4">
        <v>-3950.37</v>
      </c>
      <c r="E89" s="4"/>
      <c r="F89" s="12">
        <f>IF(D$12=0,0,D89/D$12)</f>
        <v>-0.11371417007801214</v>
      </c>
      <c r="G89" s="4"/>
      <c r="H89" s="4">
        <v>15407</v>
      </c>
      <c r="I89" s="4"/>
      <c r="J89" s="12">
        <f>IF(H$12=0,0,H89/H$12)</f>
        <v>0.49020044543429842</v>
      </c>
      <c r="K89" s="4"/>
      <c r="L89" s="4">
        <f>+D89-H89</f>
        <v>-19357.37</v>
      </c>
      <c r="M89" s="4"/>
      <c r="N89" s="12">
        <f>IF(H89=0,0,L89/H89)</f>
        <v>-1.2564009865645485</v>
      </c>
      <c r="O89" s="10"/>
      <c r="P89" s="4">
        <v>116529.44</v>
      </c>
      <c r="Q89" s="4"/>
      <c r="R89" s="12">
        <f>IF(P$12=0,0,P89/P$12)</f>
        <v>0.11559174129989665</v>
      </c>
      <c r="S89" s="4"/>
      <c r="T89" s="4">
        <v>215297</v>
      </c>
      <c r="U89" s="4"/>
      <c r="V89" s="12">
        <f>IF(T$12=0,0,T89/T$12)</f>
        <v>0.11499065320728516</v>
      </c>
      <c r="W89" s="4"/>
      <c r="X89" s="4">
        <f>+P89-T89</f>
        <v>-98767.56</v>
      </c>
      <c r="Y89" s="4"/>
      <c r="Z89" s="12">
        <f>IF(T89=0,0,X89/T89)</f>
        <v>-0.45875028449072675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6" t="s">
        <v>126</v>
      </c>
      <c r="C91" s="26"/>
      <c r="D91" s="31">
        <f>+D87-D89</f>
        <v>-28925.870000000006</v>
      </c>
      <c r="E91" s="13"/>
      <c r="F91" s="33">
        <f>IF(D$12=0,0,D91/D$12)</f>
        <v>-0.83265144805030156</v>
      </c>
      <c r="G91" s="13"/>
      <c r="H91" s="31">
        <f>+H87-H89</f>
        <v>-59942.137548737199</v>
      </c>
      <c r="I91" s="13"/>
      <c r="J91" s="33">
        <f>IF(H$12=0,0,H91/H$12)</f>
        <v>-1.9071631418624626</v>
      </c>
      <c r="K91" s="15"/>
      <c r="L91" s="31">
        <f>D91-H91</f>
        <v>31016.267548737193</v>
      </c>
      <c r="M91" s="15"/>
      <c r="N91" s="33">
        <f>IF(H91=0,0,L91/H91)</f>
        <v>-0.51743679516798635</v>
      </c>
      <c r="O91" s="25"/>
      <c r="P91" s="31">
        <f>+P87-P89</f>
        <v>45489.399999999907</v>
      </c>
      <c r="Q91" s="13"/>
      <c r="R91" s="33">
        <f>IF(P$12=0,0,P91/P$12)</f>
        <v>4.5123352147641897E-2</v>
      </c>
      <c r="S91" s="13"/>
      <c r="T91" s="31">
        <f>+T87-T89</f>
        <v>257882.85960454616</v>
      </c>
      <c r="U91" s="13"/>
      <c r="V91" s="33">
        <f>IF(T$12=0,0,T91/T$12)</f>
        <v>0.13773586476769009</v>
      </c>
      <c r="W91" s="15"/>
      <c r="X91" s="31">
        <f>P91-T91</f>
        <v>-212393.45960454625</v>
      </c>
      <c r="Y91" s="15"/>
      <c r="Z91" s="33">
        <f>IF(T91=0,0,X91/T91)</f>
        <v>-0.82360440678470748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6" t="s">
        <v>294</v>
      </c>
      <c r="C94" s="26"/>
      <c r="D94" s="35">
        <f>SUM(D91:D93)</f>
        <v>-28925.870000000006</v>
      </c>
      <c r="E94" s="13"/>
      <c r="F94" s="32">
        <f>IF(D$12=0,0,D94/D$12)</f>
        <v>-0.83265144805030156</v>
      </c>
      <c r="G94" s="13"/>
      <c r="H94" s="35">
        <f>SUM(H91:H93)</f>
        <v>-59942.137548737199</v>
      </c>
      <c r="I94" s="13"/>
      <c r="J94" s="32">
        <f>IF(H$12=0,0,H94/H$12)</f>
        <v>-1.9071631418624626</v>
      </c>
      <c r="K94" s="15"/>
      <c r="L94" s="35">
        <f>+D94-H94</f>
        <v>31016.267548737193</v>
      </c>
      <c r="M94" s="15"/>
      <c r="N94" s="32">
        <f>IF(H94=0,0,L94/H94)</f>
        <v>-0.51743679516798635</v>
      </c>
      <c r="O94" s="25"/>
      <c r="P94" s="35">
        <f>SUM(P91:P93)</f>
        <v>45489.399999999907</v>
      </c>
      <c r="Q94" s="13"/>
      <c r="R94" s="32">
        <f>IF(P$12=0,0,P94/P$12)</f>
        <v>4.5123352147641897E-2</v>
      </c>
      <c r="S94" s="13"/>
      <c r="T94" s="35">
        <f>SUM(T91:T93)</f>
        <v>257882.85960454616</v>
      </c>
      <c r="U94" s="13"/>
      <c r="V94" s="32">
        <f>IF(T$12=0,0,T94/T$12)</f>
        <v>0.13773586476769009</v>
      </c>
      <c r="W94" s="15"/>
      <c r="X94" s="35">
        <f>+P94-T94</f>
        <v>-212393.45960454625</v>
      </c>
      <c r="Y94" s="15"/>
      <c r="Z94" s="32">
        <f>IF(T94=0,0,X94/T94)</f>
        <v>-0.82360440678470748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9">
        <v>44517.962875613426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62" t="s">
        <v>56</v>
      </c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7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</sheetPr>
  <dimension ref="A2:Z3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","324", " - ", "Textbook Rental")</f>
        <v>Department 324 - Textbook Rental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2878.13</v>
      </c>
      <c r="E12" s="4"/>
      <c r="F12" s="12"/>
      <c r="G12" s="4"/>
      <c r="H12" s="4">
        <f>SUM(OSRRefH13x_0)</f>
        <v>4499</v>
      </c>
      <c r="I12" s="4"/>
      <c r="J12" s="12"/>
      <c r="K12" s="4"/>
      <c r="L12" s="4">
        <f t="shared" ref="L12:L14" si="0">+D12-H12</f>
        <v>-1620.87</v>
      </c>
      <c r="M12" s="4"/>
      <c r="N12" s="12">
        <f t="shared" ref="N12:N14" si="1">IF(H12=0,0,L12/H12)</f>
        <v>-0.36027339408757497</v>
      </c>
      <c r="O12" s="10"/>
      <c r="P12" s="4">
        <f>SUM(OSRRefP13x_0)</f>
        <v>335647.54000000004</v>
      </c>
      <c r="Q12" s="4"/>
      <c r="R12" s="12"/>
      <c r="S12" s="4"/>
      <c r="T12" s="4">
        <f>SUM(OSRRefT13x_0)</f>
        <v>916098</v>
      </c>
      <c r="U12" s="4"/>
      <c r="V12" s="12"/>
      <c r="W12" s="4"/>
      <c r="X12" s="4">
        <f t="shared" ref="X12:X14" si="2">+P12-T12</f>
        <v>-580450.46</v>
      </c>
      <c r="Y12" s="4"/>
      <c r="Z12" s="12">
        <f t="shared" ref="Z12:Z14" si="3">IF(T12=0,0,X12/T12)</f>
        <v>-0.6336117533277007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--1977.76</f>
        <v>1977.76</v>
      </c>
      <c r="E13" s="2"/>
      <c r="F13" s="19"/>
      <c r="G13" s="2"/>
      <c r="H13" s="2">
        <v>4499</v>
      </c>
      <c r="I13" s="2"/>
      <c r="J13" s="19"/>
      <c r="K13" s="2"/>
      <c r="L13" s="2">
        <f t="shared" si="0"/>
        <v>-2521.2399999999998</v>
      </c>
      <c r="M13" s="2"/>
      <c r="N13" s="19">
        <f t="shared" si="1"/>
        <v>-0.56040008890864634</v>
      </c>
      <c r="O13" s="11"/>
      <c r="P13" s="2">
        <f>--211058.66</f>
        <v>211058.66</v>
      </c>
      <c r="Q13" s="2"/>
      <c r="R13" s="19"/>
      <c r="S13" s="2"/>
      <c r="T13" s="2">
        <v>916098</v>
      </c>
      <c r="U13" s="2"/>
      <c r="V13" s="19"/>
      <c r="W13" s="2"/>
      <c r="X13" s="2">
        <f t="shared" si="2"/>
        <v>-705039.34</v>
      </c>
      <c r="Y13" s="2"/>
      <c r="Z13" s="19">
        <f t="shared" si="3"/>
        <v>-0.76961126429705118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--900.37</f>
        <v>900.37</v>
      </c>
      <c r="E14" s="2"/>
      <c r="F14" s="19"/>
      <c r="G14" s="2"/>
      <c r="H14" s="2"/>
      <c r="I14" s="2"/>
      <c r="J14" s="19"/>
      <c r="K14" s="2"/>
      <c r="L14" s="2">
        <f t="shared" si="0"/>
        <v>900.37</v>
      </c>
      <c r="M14" s="2"/>
      <c r="N14" s="19">
        <f t="shared" si="1"/>
        <v>0</v>
      </c>
      <c r="O14" s="11"/>
      <c r="P14" s="2">
        <f>--124588.88</f>
        <v>124588.88</v>
      </c>
      <c r="Q14" s="2"/>
      <c r="R14" s="19"/>
      <c r="S14" s="2"/>
      <c r="T14" s="2"/>
      <c r="U14" s="2"/>
      <c r="V14" s="19"/>
      <c r="W14" s="2"/>
      <c r="X14" s="2">
        <f t="shared" si="2"/>
        <v>124588.88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257</v>
      </c>
      <c r="C16" s="10"/>
      <c r="D16" s="4">
        <f>SUM(OSRRefD16x_0)</f>
        <v>2444.34</v>
      </c>
      <c r="E16" s="4"/>
      <c r="F16" s="12">
        <f t="shared" ref="F16:F17" si="4">IF(D$12=0,0,D16/D$12)</f>
        <v>0.84928060928450066</v>
      </c>
      <c r="G16" s="4"/>
      <c r="H16" s="4">
        <f>SUM(OSRRefH16x_0)</f>
        <v>3262</v>
      </c>
      <c r="I16" s="4"/>
      <c r="J16" s="12">
        <f t="shared" ref="J16:J17" si="5">IF(H$12=0,0,H16/H$12)</f>
        <v>0.72505001111358081</v>
      </c>
      <c r="K16" s="4"/>
      <c r="L16" s="4">
        <f t="shared" ref="L16:L17" si="6">+D16-H16</f>
        <v>-817.65999999999985</v>
      </c>
      <c r="M16" s="4"/>
      <c r="N16" s="12">
        <f t="shared" ref="N16:N17" si="7">IF(H16=0,0,L16/H16)</f>
        <v>-0.2506621704475781</v>
      </c>
      <c r="O16" s="10"/>
      <c r="P16" s="4">
        <f>SUM(OSRRefP16x_0)</f>
        <v>253418.09</v>
      </c>
      <c r="Q16" s="4"/>
      <c r="R16" s="12">
        <f t="shared" ref="R16:R17" si="8">IF(P$12=0,0,P16/P$12)</f>
        <v>0.75501250508196771</v>
      </c>
      <c r="S16" s="4"/>
      <c r="T16" s="4">
        <f>SUM(OSRRefT16x_0)</f>
        <v>664172</v>
      </c>
      <c r="U16" s="4"/>
      <c r="V16" s="12">
        <f t="shared" ref="V16:V17" si="9">IF(T$12=0,0,T16/T$12)</f>
        <v>0.72500103700695773</v>
      </c>
      <c r="W16" s="4"/>
      <c r="X16" s="4">
        <f t="shared" ref="X16:X17" si="10">+P16-T16</f>
        <v>-410753.91000000003</v>
      </c>
      <c r="Y16" s="4"/>
      <c r="Z16" s="12">
        <f t="shared" ref="Z16:Z17" si="11">IF(T16=0,0,X16/T16)</f>
        <v>-0.61844508651373442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>
        <v>2444.34</v>
      </c>
      <c r="E17" s="2"/>
      <c r="F17" s="19">
        <f t="shared" si="4"/>
        <v>0.84928060928450066</v>
      </c>
      <c r="G17" s="2"/>
      <c r="H17" s="2">
        <v>3262</v>
      </c>
      <c r="I17" s="2"/>
      <c r="J17" s="19">
        <f t="shared" si="5"/>
        <v>0.72505001111358081</v>
      </c>
      <c r="K17" s="2"/>
      <c r="L17" s="2">
        <f t="shared" si="6"/>
        <v>-817.65999999999985</v>
      </c>
      <c r="M17" s="2"/>
      <c r="N17" s="19">
        <f t="shared" si="7"/>
        <v>-0.2506621704475781</v>
      </c>
      <c r="O17" s="11"/>
      <c r="P17" s="2">
        <v>253418.09</v>
      </c>
      <c r="Q17" s="2"/>
      <c r="R17" s="19">
        <f t="shared" si="8"/>
        <v>0.75501250508196771</v>
      </c>
      <c r="S17" s="2"/>
      <c r="T17" s="2">
        <v>664172</v>
      </c>
      <c r="U17" s="2"/>
      <c r="V17" s="19">
        <f t="shared" si="9"/>
        <v>0.72500103700695773</v>
      </c>
      <c r="W17" s="2"/>
      <c r="X17" s="2">
        <f t="shared" si="10"/>
        <v>-410753.91000000003</v>
      </c>
      <c r="Y17" s="2"/>
      <c r="Z17" s="19">
        <f t="shared" si="11"/>
        <v>-0.61844508651373442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108</v>
      </c>
      <c r="C19" s="26"/>
      <c r="D19" s="21">
        <f>D12-D16</f>
        <v>433.78999999999996</v>
      </c>
      <c r="E19" s="13"/>
      <c r="F19" s="20">
        <f>IF(D$12=0,0,D19/D$12)</f>
        <v>0.15071939071549928</v>
      </c>
      <c r="G19" s="13"/>
      <c r="H19" s="21">
        <f>H12-H16</f>
        <v>1237</v>
      </c>
      <c r="I19" s="13"/>
      <c r="J19" s="20">
        <f>IF(H$12=0,0,H19/H$12)</f>
        <v>0.27494998888641919</v>
      </c>
      <c r="K19" s="15"/>
      <c r="L19" s="21">
        <f>+D19-H19</f>
        <v>-803.21</v>
      </c>
      <c r="M19" s="15"/>
      <c r="N19" s="20">
        <f>IF(H19=0,0,L19/H19)</f>
        <v>-0.64932093775262734</v>
      </c>
      <c r="O19" s="25"/>
      <c r="P19" s="21">
        <f>P12-P16</f>
        <v>82229.450000000041</v>
      </c>
      <c r="Q19" s="13"/>
      <c r="R19" s="20">
        <f>IF(P$12=0,0,P19/P$12)</f>
        <v>0.24498749491803226</v>
      </c>
      <c r="S19" s="13"/>
      <c r="T19" s="21">
        <f>T12-T16</f>
        <v>251926</v>
      </c>
      <c r="U19" s="13"/>
      <c r="V19" s="20">
        <f>IF(T$12=0,0,T19/T$12)</f>
        <v>0.27499896299304222</v>
      </c>
      <c r="W19" s="15"/>
      <c r="X19" s="21">
        <f>+P19-T19</f>
        <v>-169696.54999999996</v>
      </c>
      <c r="Y19" s="15"/>
      <c r="Z19" s="20">
        <f>IF(T19=0,0,X19/T19)</f>
        <v>-0.67359681017441608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295</v>
      </c>
      <c r="C21" s="10"/>
      <c r="D21" s="22">
        <f>SUM(0)</f>
        <v>0</v>
      </c>
      <c r="E21" s="22"/>
      <c r="F21" s="34">
        <f>IF(D$12=0,0,D21/D$12)</f>
        <v>0</v>
      </c>
      <c r="G21" s="22"/>
      <c r="H21" s="22">
        <f>SUM(0)</f>
        <v>0</v>
      </c>
      <c r="I21" s="22"/>
      <c r="J21" s="34">
        <f>IF(H$12=0,0,H21/H$12)</f>
        <v>0</v>
      </c>
      <c r="K21" s="4"/>
      <c r="L21" s="22">
        <f>+D21-H21</f>
        <v>0</v>
      </c>
      <c r="M21" s="4"/>
      <c r="N21" s="34">
        <f>IF(H21=0,0,L21/H21)</f>
        <v>0</v>
      </c>
      <c r="O21" s="10"/>
      <c r="P21" s="22">
        <f>SUM(0)</f>
        <v>0</v>
      </c>
      <c r="Q21" s="22"/>
      <c r="R21" s="34">
        <f>IF(P$12=0,0,P21/P$12)</f>
        <v>0</v>
      </c>
      <c r="S21" s="22"/>
      <c r="T21" s="22">
        <f>SUM(0)</f>
        <v>0</v>
      </c>
      <c r="U21" s="22"/>
      <c r="V21" s="34">
        <f>IF(T$12=0,0,T21/T$12)</f>
        <v>0</v>
      </c>
      <c r="W21" s="4"/>
      <c r="X21" s="22">
        <f>+P21-T21</f>
        <v>0</v>
      </c>
      <c r="Y21" s="4"/>
      <c r="Z21" s="34">
        <f>IF(T21=0,0,X21/T21)</f>
        <v>0</v>
      </c>
    </row>
    <row r="22" spans="1:26" s="60" customFormat="1" x14ac:dyDescent="0.25">
      <c r="A22" s="36"/>
      <c r="B22" s="36"/>
      <c r="C22" s="36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293</v>
      </c>
      <c r="C23" s="10"/>
      <c r="D23" s="4">
        <f>SUM(0)</f>
        <v>0</v>
      </c>
      <c r="E23" s="4"/>
      <c r="F23" s="12">
        <f>IF(D$12=0,0,D23/D$12)</f>
        <v>0</v>
      </c>
      <c r="G23" s="4"/>
      <c r="H23" s="4">
        <f>SUM(0)</f>
        <v>0</v>
      </c>
      <c r="I23" s="4"/>
      <c r="J23" s="12">
        <f>IF(H$12=0,0,H23/H$12)</f>
        <v>0</v>
      </c>
      <c r="K23" s="4"/>
      <c r="L23" s="4">
        <f>+D23-H23</f>
        <v>0</v>
      </c>
      <c r="M23" s="4"/>
      <c r="N23" s="12">
        <f>IF(H23=0,0,L23/H23)</f>
        <v>0</v>
      </c>
      <c r="O23" s="10"/>
      <c r="P23" s="4">
        <f>SUM(0)</f>
        <v>0</v>
      </c>
      <c r="Q23" s="4"/>
      <c r="R23" s="12">
        <f>IF(P$12=0,0,P23/P$12)</f>
        <v>0</v>
      </c>
      <c r="S23" s="4"/>
      <c r="T23" s="4">
        <f>SUM(0)</f>
        <v>0</v>
      </c>
      <c r="U23" s="4"/>
      <c r="V23" s="12">
        <f>IF(T$12=0,0,T23/T$12)</f>
        <v>0</v>
      </c>
      <c r="W23" s="4"/>
      <c r="X23" s="4">
        <f>+P23-T23</f>
        <v>0</v>
      </c>
      <c r="Y23" s="4"/>
      <c r="Z23" s="12">
        <f>IF(T23=0,0,X23/T23)</f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6" t="s">
        <v>277</v>
      </c>
      <c r="C25" s="26"/>
      <c r="D25" s="21">
        <f>+D19-D21+D23</f>
        <v>433.78999999999996</v>
      </c>
      <c r="E25" s="13"/>
      <c r="F25" s="20">
        <f>IF(D$12=0,0,D25/D$12)</f>
        <v>0.15071939071549928</v>
      </c>
      <c r="G25" s="13"/>
      <c r="H25" s="21">
        <f>+H19-H21+H23</f>
        <v>1237</v>
      </c>
      <c r="I25" s="13"/>
      <c r="J25" s="20">
        <f>IF(H$12=0,0,H25/H$12)</f>
        <v>0.27494998888641919</v>
      </c>
      <c r="K25" s="15"/>
      <c r="L25" s="21">
        <f>+D25-H25</f>
        <v>-803.21</v>
      </c>
      <c r="M25" s="15"/>
      <c r="N25" s="20">
        <f>IF(H25=0,0,L25/H25)</f>
        <v>-0.64932093775262734</v>
      </c>
      <c r="O25" s="25"/>
      <c r="P25" s="21">
        <f>+P19-P21+P23</f>
        <v>82229.450000000041</v>
      </c>
      <c r="Q25" s="13"/>
      <c r="R25" s="20">
        <f>IF(P$12=0,0,P25/P$12)</f>
        <v>0.24498749491803226</v>
      </c>
      <c r="S25" s="13"/>
      <c r="T25" s="21">
        <f>+T19-T21+T23</f>
        <v>251926</v>
      </c>
      <c r="U25" s="13"/>
      <c r="V25" s="20">
        <f>IF(T$12=0,0,T25/T$12)</f>
        <v>0.27499896299304222</v>
      </c>
      <c r="W25" s="15"/>
      <c r="X25" s="21">
        <f>+P25-T25</f>
        <v>-169696.54999999996</v>
      </c>
      <c r="Y25" s="15"/>
      <c r="Z25" s="20">
        <f>IF(T25=0,0,X25/T25)</f>
        <v>-0.67359681017441608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52"/>
      <c r="B27" s="10" t="s">
        <v>128</v>
      </c>
      <c r="C27" s="10"/>
      <c r="D27" s="4">
        <v>-2390.66</v>
      </c>
      <c r="E27" s="4"/>
      <c r="F27" s="12">
        <f>IF(D$12=0,0,D27/D$12)</f>
        <v>-0.8306296101982884</v>
      </c>
      <c r="G27" s="4"/>
      <c r="H27" s="4">
        <v>6357</v>
      </c>
      <c r="I27" s="4"/>
      <c r="J27" s="12">
        <f>IF(H$12=0,0,H27/H$12)</f>
        <v>1.4129806623694154</v>
      </c>
      <c r="K27" s="4"/>
      <c r="L27" s="4">
        <f>+D27-H27</f>
        <v>-8747.66</v>
      </c>
      <c r="M27" s="4"/>
      <c r="N27" s="12">
        <f>IF(H27=0,0,L27/H27)</f>
        <v>-1.3760673273556709</v>
      </c>
      <c r="O27" s="10"/>
      <c r="P27" s="4">
        <v>38798.080000000002</v>
      </c>
      <c r="Q27" s="4"/>
      <c r="R27" s="12">
        <f>IF(P$12=0,0,P27/P$12)</f>
        <v>0.11559173053972031</v>
      </c>
      <c r="S27" s="4"/>
      <c r="T27" s="4">
        <v>105342</v>
      </c>
      <c r="U27" s="4"/>
      <c r="V27" s="12">
        <f>IF(T$12=0,0,T27/T$12)</f>
        <v>0.11498988099526469</v>
      </c>
      <c r="W27" s="4"/>
      <c r="X27" s="4">
        <f>+P27-T27</f>
        <v>-66543.92</v>
      </c>
      <c r="Y27" s="4"/>
      <c r="Z27" s="12">
        <f>IF(T27=0,0,X27/T27)</f>
        <v>-0.63169410111826241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6" t="s">
        <v>126</v>
      </c>
      <c r="C29" s="26"/>
      <c r="D29" s="31">
        <f>+D25-D27</f>
        <v>2824.45</v>
      </c>
      <c r="E29" s="13"/>
      <c r="F29" s="33">
        <f>IF(D$12=0,0,D29/D$12)</f>
        <v>0.98134900091378763</v>
      </c>
      <c r="G29" s="13"/>
      <c r="H29" s="31">
        <f>+H25-H27</f>
        <v>-5120</v>
      </c>
      <c r="I29" s="13"/>
      <c r="J29" s="33">
        <f>IF(H$12=0,0,H29/H$12)</f>
        <v>-1.1380306734829961</v>
      </c>
      <c r="K29" s="15"/>
      <c r="L29" s="31">
        <f>D29-H29</f>
        <v>7944.45</v>
      </c>
      <c r="M29" s="15"/>
      <c r="N29" s="33">
        <f>IF(H29=0,0,L29/H29)</f>
        <v>-1.5516503906249999</v>
      </c>
      <c r="O29" s="25"/>
      <c r="P29" s="31">
        <f>+P25-P27</f>
        <v>43431.370000000039</v>
      </c>
      <c r="Q29" s="13"/>
      <c r="R29" s="33">
        <f>IF(P$12=0,0,P29/P$12)</f>
        <v>0.12939576437831193</v>
      </c>
      <c r="S29" s="13"/>
      <c r="T29" s="31">
        <f>+T25-T27</f>
        <v>146584</v>
      </c>
      <c r="U29" s="13"/>
      <c r="V29" s="33">
        <f>IF(T$12=0,0,T29/T$12)</f>
        <v>0.16000908199777752</v>
      </c>
      <c r="W29" s="15"/>
      <c r="X29" s="31">
        <f>P29-T29</f>
        <v>-103152.62999999996</v>
      </c>
      <c r="Y29" s="15"/>
      <c r="Z29" s="33">
        <f>IF(T29=0,0,X29/T29)</f>
        <v>-0.70371002292201035</v>
      </c>
    </row>
    <row r="30" spans="1:26" ht="15.75" thickTop="1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x14ac:dyDescent="0.25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6" t="s">
        <v>294</v>
      </c>
      <c r="C32" s="26"/>
      <c r="D32" s="35">
        <f>SUM(D29:D31)</f>
        <v>2824.45</v>
      </c>
      <c r="E32" s="13"/>
      <c r="F32" s="32">
        <f>IF(D$12=0,0,D32/D$12)</f>
        <v>0.98134900091378763</v>
      </c>
      <c r="G32" s="13"/>
      <c r="H32" s="35">
        <f>SUM(H29:H31)</f>
        <v>-5120</v>
      </c>
      <c r="I32" s="13"/>
      <c r="J32" s="32">
        <f>IF(H$12=0,0,H32/H$12)</f>
        <v>-1.1380306734829961</v>
      </c>
      <c r="K32" s="15"/>
      <c r="L32" s="35">
        <f>+D32-H32</f>
        <v>7944.45</v>
      </c>
      <c r="M32" s="15"/>
      <c r="N32" s="32">
        <f>IF(H32=0,0,L32/H32)</f>
        <v>-1.5516503906249999</v>
      </c>
      <c r="O32" s="25"/>
      <c r="P32" s="35">
        <f>SUM(P29:P31)</f>
        <v>43431.370000000039</v>
      </c>
      <c r="Q32" s="13"/>
      <c r="R32" s="32">
        <f>IF(P$12=0,0,P32/P$12)</f>
        <v>0.12939576437831193</v>
      </c>
      <c r="S32" s="13"/>
      <c r="T32" s="35">
        <f>SUM(T29:T31)</f>
        <v>146584</v>
      </c>
      <c r="U32" s="13"/>
      <c r="V32" s="32">
        <f>IF(T$12=0,0,T32/T$12)</f>
        <v>0.16000908199777752</v>
      </c>
      <c r="W32" s="15"/>
      <c r="X32" s="35">
        <f>+P32-T32</f>
        <v>-103152.62999999996</v>
      </c>
      <c r="Y32" s="15"/>
      <c r="Z32" s="32">
        <f>IF(T32=0,0,X32/T32)</f>
        <v>-0.70371002292201035</v>
      </c>
    </row>
    <row r="33" spans="1:24" ht="15.75" thickTop="1" x14ac:dyDescent="0.25">
      <c r="A33" s="9"/>
      <c r="C33" s="9"/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9">
        <v>44517.962875613426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62" t="s">
        <v>56</v>
      </c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A36" s="9"/>
      <c r="B36" s="57"/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4" x14ac:dyDescent="0.25"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</sheetPr>
  <dimension ref="A2:Z13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22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478030.84</v>
      </c>
      <c r="E12" s="4"/>
      <c r="F12" s="12"/>
      <c r="G12" s="4"/>
      <c r="H12" s="4">
        <f>SUM(OSRRefH13x_0)</f>
        <v>251754</v>
      </c>
      <c r="I12" s="4"/>
      <c r="J12" s="12"/>
      <c r="K12" s="4"/>
      <c r="L12" s="4">
        <f t="shared" ref="L12:L17" si="0">+D12-H12</f>
        <v>226276.84000000003</v>
      </c>
      <c r="M12" s="4"/>
      <c r="N12" s="12">
        <f t="shared" ref="N12:N17" si="1">IF(H12=0,0,L12/H12)</f>
        <v>0.89880136959095003</v>
      </c>
      <c r="O12" s="10"/>
      <c r="P12" s="4">
        <f>SUM(OSRRefP13x_0)</f>
        <v>1372446.16</v>
      </c>
      <c r="Q12" s="4"/>
      <c r="R12" s="12"/>
      <c r="S12" s="4"/>
      <c r="T12" s="4">
        <f>SUM(OSRRefT13x_0)</f>
        <v>1184532</v>
      </c>
      <c r="U12" s="4"/>
      <c r="V12" s="12"/>
      <c r="W12" s="4"/>
      <c r="X12" s="4">
        <f t="shared" ref="X12:X17" si="2">+P12-T12</f>
        <v>187914.15999999992</v>
      </c>
      <c r="Y12" s="4"/>
      <c r="Z12" s="12">
        <f t="shared" ref="Z12:Z17" si="3">IF(T12=0,0,X12/T12)</f>
        <v>0.15864000297163766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--431595.01</f>
        <v>431595.01</v>
      </c>
      <c r="E13" s="2"/>
      <c r="F13" s="19"/>
      <c r="G13" s="2"/>
      <c r="H13" s="2">
        <v>251754</v>
      </c>
      <c r="I13" s="2"/>
      <c r="J13" s="19"/>
      <c r="K13" s="2"/>
      <c r="L13" s="2">
        <f t="shared" si="0"/>
        <v>179841.01</v>
      </c>
      <c r="M13" s="2"/>
      <c r="N13" s="19">
        <f t="shared" si="1"/>
        <v>0.71435214534823677</v>
      </c>
      <c r="O13" s="11"/>
      <c r="P13" s="2">
        <f>--1266653.41</f>
        <v>1266653.4099999999</v>
      </c>
      <c r="Q13" s="2"/>
      <c r="R13" s="19"/>
      <c r="S13" s="2"/>
      <c r="T13" s="2">
        <v>1184532</v>
      </c>
      <c r="U13" s="2"/>
      <c r="V13" s="19"/>
      <c r="W13" s="2"/>
      <c r="X13" s="2">
        <f t="shared" si="2"/>
        <v>82121.409999999916</v>
      </c>
      <c r="Y13" s="2"/>
      <c r="Z13" s="19">
        <f t="shared" si="3"/>
        <v>6.9328148163156356E-2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--62982.5</f>
        <v>62982.5</v>
      </c>
      <c r="E14" s="2"/>
      <c r="F14" s="19"/>
      <c r="G14" s="2"/>
      <c r="H14" s="2"/>
      <c r="I14" s="2"/>
      <c r="J14" s="19"/>
      <c r="K14" s="2"/>
      <c r="L14" s="2">
        <f t="shared" si="0"/>
        <v>62982.5</v>
      </c>
      <c r="M14" s="2"/>
      <c r="N14" s="19">
        <f t="shared" si="1"/>
        <v>0</v>
      </c>
      <c r="O14" s="11"/>
      <c r="P14" s="2">
        <f>--146392.84</f>
        <v>146392.84</v>
      </c>
      <c r="Q14" s="2"/>
      <c r="R14" s="19"/>
      <c r="S14" s="2"/>
      <c r="T14" s="2"/>
      <c r="U14" s="2"/>
      <c r="V14" s="19"/>
      <c r="W14" s="2"/>
      <c r="X14" s="2">
        <f t="shared" si="2"/>
        <v>146392.84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-9287.11</f>
        <v>-9287.11</v>
      </c>
      <c r="E15" s="2"/>
      <c r="F15" s="19"/>
      <c r="G15" s="2"/>
      <c r="H15" s="2"/>
      <c r="I15" s="2"/>
      <c r="J15" s="19"/>
      <c r="K15" s="2"/>
      <c r="L15" s="2">
        <f t="shared" si="0"/>
        <v>-9287.11</v>
      </c>
      <c r="M15" s="2"/>
      <c r="N15" s="19">
        <f t="shared" si="1"/>
        <v>0</v>
      </c>
      <c r="O15" s="11"/>
      <c r="P15" s="2">
        <f>-32781.55</f>
        <v>-32781.550000000003</v>
      </c>
      <c r="Q15" s="2"/>
      <c r="R15" s="19"/>
      <c r="S15" s="2"/>
      <c r="T15" s="2"/>
      <c r="U15" s="2"/>
      <c r="V15" s="19"/>
      <c r="W15" s="2"/>
      <c r="X15" s="2">
        <f t="shared" si="2"/>
        <v>-32781.550000000003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"4300", " - ", "NON-TAX RETURNS")</f>
        <v xml:space="preserve">          4300 - NON-TAX RETURNS</v>
      </c>
      <c r="C16" s="11"/>
      <c r="D16" s="2">
        <f>-335.33</f>
        <v>-335.33</v>
      </c>
      <c r="E16" s="2"/>
      <c r="F16" s="19"/>
      <c r="G16" s="2"/>
      <c r="H16" s="2"/>
      <c r="I16" s="2"/>
      <c r="J16" s="19"/>
      <c r="K16" s="2"/>
      <c r="L16" s="2">
        <f t="shared" si="0"/>
        <v>-335.33</v>
      </c>
      <c r="M16" s="2"/>
      <c r="N16" s="19">
        <f t="shared" si="1"/>
        <v>0</v>
      </c>
      <c r="O16" s="11"/>
      <c r="P16" s="2">
        <f>-894.31</f>
        <v>-894.31</v>
      </c>
      <c r="Q16" s="2"/>
      <c r="R16" s="19"/>
      <c r="S16" s="2"/>
      <c r="T16" s="2"/>
      <c r="U16" s="2"/>
      <c r="V16" s="19"/>
      <c r="W16" s="2"/>
      <c r="X16" s="2">
        <f t="shared" si="2"/>
        <v>-894.31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"4500", " - ", "SALES DISCOUNT")</f>
        <v xml:space="preserve">          4500 - SALES DISCOUNT</v>
      </c>
      <c r="C17" s="11"/>
      <c r="D17" s="2">
        <f>-6924.23</f>
        <v>-6924.23</v>
      </c>
      <c r="E17" s="2"/>
      <c r="F17" s="19"/>
      <c r="G17" s="2"/>
      <c r="H17" s="2"/>
      <c r="I17" s="2"/>
      <c r="J17" s="19"/>
      <c r="K17" s="2"/>
      <c r="L17" s="2">
        <f t="shared" si="0"/>
        <v>-6924.23</v>
      </c>
      <c r="M17" s="2"/>
      <c r="N17" s="19">
        <f t="shared" si="1"/>
        <v>0</v>
      </c>
      <c r="O17" s="11"/>
      <c r="P17" s="2">
        <f>-6924.23</f>
        <v>-6924.23</v>
      </c>
      <c r="Q17" s="2"/>
      <c r="R17" s="19"/>
      <c r="S17" s="2"/>
      <c r="T17" s="2"/>
      <c r="U17" s="2"/>
      <c r="V17" s="19"/>
      <c r="W17" s="2"/>
      <c r="X17" s="2">
        <f t="shared" si="2"/>
        <v>-6924.23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5" t="s">
        <v>257</v>
      </c>
      <c r="C19" s="10"/>
      <c r="D19" s="4">
        <f>SUM(OSRRefD16x_0)</f>
        <v>272515.94000000006</v>
      </c>
      <c r="E19" s="4"/>
      <c r="F19" s="12">
        <f t="shared" ref="F19:F38" si="4">IF(D$12=0,0,D19/D$12)</f>
        <v>0.5700802483789541</v>
      </c>
      <c r="G19" s="4"/>
      <c r="H19" s="4">
        <f>SUM(OSRRefH16x_0)</f>
        <v>123586</v>
      </c>
      <c r="I19" s="4"/>
      <c r="J19" s="12">
        <f t="shared" ref="J19:J38" si="5">IF(H$12=0,0,H19/H$12)</f>
        <v>0.49089984667572312</v>
      </c>
      <c r="K19" s="4"/>
      <c r="L19" s="4">
        <f t="shared" ref="L19:L38" si="6">+D19-H19</f>
        <v>148929.94000000006</v>
      </c>
      <c r="M19" s="4"/>
      <c r="N19" s="12">
        <f t="shared" ref="N19:N38" si="7">IF(H19=0,0,L19/H19)</f>
        <v>1.2050712863916631</v>
      </c>
      <c r="O19" s="10"/>
      <c r="P19" s="4">
        <f>SUM(OSRRefP16x_0)</f>
        <v>680613.48</v>
      </c>
      <c r="Q19" s="4"/>
      <c r="R19" s="12">
        <f t="shared" ref="R19:R38" si="8">IF(P$12=0,0,P19/P$12)</f>
        <v>0.49591269940964389</v>
      </c>
      <c r="S19" s="4"/>
      <c r="T19" s="4">
        <f>SUM(OSRRefT16x_0)</f>
        <v>618972</v>
      </c>
      <c r="U19" s="4"/>
      <c r="V19" s="12">
        <f t="shared" ref="V19:V38" si="9">IF(T$12=0,0,T19/T$12)</f>
        <v>0.5225456129509376</v>
      </c>
      <c r="W19" s="4"/>
      <c r="X19" s="4">
        <f t="shared" ref="X19:X38" si="10">+P19-T19</f>
        <v>61641.479999999981</v>
      </c>
      <c r="Y19" s="4"/>
      <c r="Z19" s="12">
        <f t="shared" ref="Z19:Z38" si="11">IF(T19=0,0,X19/T19)</f>
        <v>9.9586863379926685E-2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446430.58</v>
      </c>
      <c r="E20" s="2"/>
      <c r="F20" s="19">
        <f t="shared" si="4"/>
        <v>0.9338949344774492</v>
      </c>
      <c r="G20" s="2"/>
      <c r="H20" s="2">
        <v>123586</v>
      </c>
      <c r="I20" s="2"/>
      <c r="J20" s="19">
        <f t="shared" si="5"/>
        <v>0.49089984667572312</v>
      </c>
      <c r="K20" s="2"/>
      <c r="L20" s="2">
        <f t="shared" si="6"/>
        <v>322844.58</v>
      </c>
      <c r="M20" s="2"/>
      <c r="N20" s="19">
        <f t="shared" si="7"/>
        <v>2.6123070574336902</v>
      </c>
      <c r="O20" s="11"/>
      <c r="P20" s="2">
        <v>724935.47</v>
      </c>
      <c r="Q20" s="2"/>
      <c r="R20" s="19">
        <f t="shared" si="8"/>
        <v>0.52820685512355547</v>
      </c>
      <c r="S20" s="2"/>
      <c r="T20" s="2">
        <v>618972</v>
      </c>
      <c r="U20" s="2"/>
      <c r="V20" s="19">
        <f t="shared" si="9"/>
        <v>0.5225456129509376</v>
      </c>
      <c r="W20" s="2"/>
      <c r="X20" s="2">
        <f t="shared" si="10"/>
        <v>105963.46999999997</v>
      </c>
      <c r="Y20" s="2"/>
      <c r="Z20" s="19">
        <f t="shared" si="11"/>
        <v>0.17119267107397423</v>
      </c>
    </row>
    <row r="21" spans="1:26" s="24" customFormat="1" hidden="1" outlineLevel="1" x14ac:dyDescent="0.25">
      <c r="A21" s="44"/>
      <c r="B21" s="11" t="str">
        <f>CONCATENATE("          ", "5027", " - ", "PURCHASES @ COST-SCHOOL SUPPLI")</f>
        <v xml:space="preserve">          5027 - PURCHASES @ COST-SCHOOL SUPPLI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"5028", " - ", "PURCHASES @ COST-ART/TECH")</f>
        <v xml:space="preserve">          5028 - PURCHASES @ COST-ART/TECH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"5031", " - ", "PURCHASES @ COST-FOOD")</f>
        <v xml:space="preserve">          5031 - PURCHASES @ COST-FOOD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"5040", " - ", "PURCHASES @ COST-LOGO CLOTHING")</f>
        <v xml:space="preserve">          5040 - PURCHASES @ COST-LOGO CLOTHING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"5041", " - ", "PURCHASES @ COST-LOGO GIFTS")</f>
        <v xml:space="preserve">          5041 - PURCHASES @ COST-LOGO GIFTS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"5042", " - ", "PURCHASES @ COST-EVERYDAY GIFT")</f>
        <v xml:space="preserve">          5042 - PURCHASES @ COST-EVERYDAY GIFT</v>
      </c>
      <c r="C26" s="11"/>
      <c r="D26" s="2"/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"5043", " - ", "PURCHASES @ COST-CARDS")</f>
        <v xml:space="preserve">          5043 - PURCHASES @ COST-CARDS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"5044", " - ", "PURCHASES @ COST-ACCESSORIES")</f>
        <v xml:space="preserve">          5044 - PURCHASES @ COST-ACCESSORIES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"5045", " - ", "PURCHASES @ COST-SPECIAL ORDER")</f>
        <v xml:space="preserve">          5045 - PURCHASES @ COST-SPECIAL ORDER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s="24" customFormat="1" hidden="1" outlineLevel="1" x14ac:dyDescent="0.25">
      <c r="A30" s="44"/>
      <c r="B30" s="11" t="str">
        <f>CONCATENATE("          ", "5200", " - ", "PURCHASES OFFSET")</f>
        <v xml:space="preserve">          5200 - PURCHASES OFFSET</v>
      </c>
      <c r="C30" s="11"/>
      <c r="D30" s="2">
        <v>-451854.04</v>
      </c>
      <c r="E30" s="2"/>
      <c r="F30" s="19">
        <f t="shared" si="4"/>
        <v>-0.94524035311194554</v>
      </c>
      <c r="G30" s="2"/>
      <c r="H30" s="2"/>
      <c r="I30" s="2"/>
      <c r="J30" s="19">
        <f t="shared" si="5"/>
        <v>0</v>
      </c>
      <c r="K30" s="2"/>
      <c r="L30" s="2">
        <f t="shared" si="6"/>
        <v>-451854.04</v>
      </c>
      <c r="M30" s="2"/>
      <c r="N30" s="19">
        <f t="shared" si="7"/>
        <v>0</v>
      </c>
      <c r="O30" s="11"/>
      <c r="P30" s="2">
        <v>-737681.15</v>
      </c>
      <c r="Q30" s="2"/>
      <c r="R30" s="19">
        <f t="shared" si="8"/>
        <v>-0.53749368936993502</v>
      </c>
      <c r="S30" s="2"/>
      <c r="T30" s="2"/>
      <c r="U30" s="2"/>
      <c r="V30" s="19">
        <f t="shared" si="9"/>
        <v>0</v>
      </c>
      <c r="W30" s="2"/>
      <c r="X30" s="2">
        <f t="shared" si="10"/>
        <v>-737681.15</v>
      </c>
      <c r="Y30" s="2"/>
      <c r="Z30" s="19">
        <f t="shared" si="11"/>
        <v>0</v>
      </c>
    </row>
    <row r="31" spans="1:26" s="24" customFormat="1" hidden="1" outlineLevel="1" x14ac:dyDescent="0.25">
      <c r="A31" s="44"/>
      <c r="B31" s="11" t="str">
        <f>CONCATENATE("          ", "5300", " - ", "COG$ OFFSET")</f>
        <v xml:space="preserve">          5300 - COG$ OFFSET</v>
      </c>
      <c r="C31" s="11"/>
      <c r="D31" s="2">
        <v>272515.94</v>
      </c>
      <c r="E31" s="2"/>
      <c r="F31" s="19">
        <f t="shared" si="4"/>
        <v>0.57008024837895388</v>
      </c>
      <c r="G31" s="2"/>
      <c r="H31" s="2"/>
      <c r="I31" s="2"/>
      <c r="J31" s="19">
        <f t="shared" si="5"/>
        <v>0</v>
      </c>
      <c r="K31" s="2"/>
      <c r="L31" s="2">
        <f t="shared" si="6"/>
        <v>272515.94</v>
      </c>
      <c r="M31" s="2"/>
      <c r="N31" s="19">
        <f t="shared" si="7"/>
        <v>0</v>
      </c>
      <c r="O31" s="11"/>
      <c r="P31" s="2">
        <v>680613.48</v>
      </c>
      <c r="Q31" s="2"/>
      <c r="R31" s="19">
        <f t="shared" si="8"/>
        <v>0.49591269940964389</v>
      </c>
      <c r="S31" s="2"/>
      <c r="T31" s="2"/>
      <c r="U31" s="2"/>
      <c r="V31" s="19">
        <f t="shared" si="9"/>
        <v>0</v>
      </c>
      <c r="W31" s="2"/>
      <c r="X31" s="2">
        <f t="shared" si="10"/>
        <v>680613.48</v>
      </c>
      <c r="Y31" s="2"/>
      <c r="Z31" s="19">
        <f t="shared" si="11"/>
        <v>0</v>
      </c>
    </row>
    <row r="32" spans="1:26" s="24" customFormat="1" hidden="1" outlineLevel="1" x14ac:dyDescent="0.25">
      <c r="A32" s="44"/>
      <c r="B32" s="11" t="str">
        <f>CONCATENATE("          ", "5500", " - ", "FREIGHT-IN")</f>
        <v xml:space="preserve">          5500 - FREIGHT-IN</v>
      </c>
      <c r="C32" s="11"/>
      <c r="D32" s="2">
        <v>5423.46</v>
      </c>
      <c r="E32" s="2"/>
      <c r="F32" s="19">
        <f t="shared" si="4"/>
        <v>1.1345418634496469E-2</v>
      </c>
      <c r="G32" s="2"/>
      <c r="H32" s="2"/>
      <c r="I32" s="2"/>
      <c r="J32" s="19">
        <f t="shared" si="5"/>
        <v>0</v>
      </c>
      <c r="K32" s="2"/>
      <c r="L32" s="2">
        <f t="shared" si="6"/>
        <v>5423.46</v>
      </c>
      <c r="M32" s="2"/>
      <c r="N32" s="19">
        <f t="shared" si="7"/>
        <v>0</v>
      </c>
      <c r="O32" s="11"/>
      <c r="P32" s="2">
        <v>12745.68</v>
      </c>
      <c r="Q32" s="2"/>
      <c r="R32" s="19">
        <f t="shared" si="8"/>
        <v>9.2868342463794731E-3</v>
      </c>
      <c r="S32" s="2"/>
      <c r="T32" s="2"/>
      <c r="U32" s="2"/>
      <c r="V32" s="19">
        <f t="shared" si="9"/>
        <v>0</v>
      </c>
      <c r="W32" s="2"/>
      <c r="X32" s="2">
        <f t="shared" si="10"/>
        <v>12745.68</v>
      </c>
      <c r="Y32" s="2"/>
      <c r="Z32" s="19">
        <f t="shared" si="11"/>
        <v>0</v>
      </c>
    </row>
    <row r="33" spans="1:26" s="24" customFormat="1" hidden="1" outlineLevel="1" x14ac:dyDescent="0.25">
      <c r="A33" s="44"/>
      <c r="B33" s="11" t="str">
        <f>CONCATENATE("          ", "5527", " - ", "FREIGHT-IN-SCHOOL SUPPLIES")</f>
        <v xml:space="preserve">          5527 - FREIGHT-IN-SCHOOL SUPPLIES</v>
      </c>
      <c r="C33" s="11"/>
      <c r="D33" s="2"/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25">
      <c r="A34" s="44"/>
      <c r="B34" s="11" t="str">
        <f>CONCATENATE("          ", "5540", " - ", "FREIGHT-IN-LOGO CLOTHING")</f>
        <v xml:space="preserve">          5540 - FREIGHT-IN-LOGO CLOTHING</v>
      </c>
      <c r="C34" s="11"/>
      <c r="D34" s="2"/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25">
      <c r="A35" s="44"/>
      <c r="B35" s="11" t="str">
        <f>CONCATENATE("          ", "5541", " - ", "FREIGHT-IN-LOGO GIFTS")</f>
        <v xml:space="preserve">          5541 - FREIGHT-IN-LOGO GIFTS</v>
      </c>
      <c r="C35" s="11"/>
      <c r="D35" s="2"/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25">
      <c r="A36" s="44"/>
      <c r="B36" s="11" t="str">
        <f>CONCATENATE("          ", "5542", " - ", "FREIGHT-IN-EVERYDAY GIFTS")</f>
        <v xml:space="preserve">          5542 - FREIGHT-IN-EVERYDAY GIFTS</v>
      </c>
      <c r="C36" s="11"/>
      <c r="D36" s="2"/>
      <c r="E36" s="2"/>
      <c r="F36" s="19">
        <f t="shared" si="4"/>
        <v>0</v>
      </c>
      <c r="G36" s="2"/>
      <c r="H36" s="2"/>
      <c r="I36" s="2"/>
      <c r="J36" s="19">
        <f t="shared" si="5"/>
        <v>0</v>
      </c>
      <c r="K36" s="2"/>
      <c r="L36" s="2">
        <f t="shared" si="6"/>
        <v>0</v>
      </c>
      <c r="M36" s="2"/>
      <c r="N36" s="19">
        <f t="shared" si="7"/>
        <v>0</v>
      </c>
      <c r="O36" s="11"/>
      <c r="P36" s="2">
        <v>0</v>
      </c>
      <c r="Q36" s="2"/>
      <c r="R36" s="19">
        <f t="shared" si="8"/>
        <v>0</v>
      </c>
      <c r="S36" s="2"/>
      <c r="T36" s="2"/>
      <c r="U36" s="2"/>
      <c r="V36" s="19">
        <f t="shared" si="9"/>
        <v>0</v>
      </c>
      <c r="W36" s="2"/>
      <c r="X36" s="2">
        <f t="shared" si="10"/>
        <v>0</v>
      </c>
      <c r="Y36" s="2"/>
      <c r="Z36" s="19">
        <f t="shared" si="11"/>
        <v>0</v>
      </c>
    </row>
    <row r="37" spans="1:26" s="24" customFormat="1" hidden="1" outlineLevel="1" x14ac:dyDescent="0.25">
      <c r="A37" s="44"/>
      <c r="B37" s="11" t="str">
        <f>CONCATENATE("          ", "5544", " - ", "FREIGHT-IN-ACCESSORIES")</f>
        <v xml:space="preserve">          5544 - FREIGHT-IN-ACCESSORIES</v>
      </c>
      <c r="C37" s="11"/>
      <c r="D37" s="2"/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s="24" customFormat="1" hidden="1" outlineLevel="1" x14ac:dyDescent="0.25">
      <c r="A38" s="44"/>
      <c r="B38" s="11" t="str">
        <f>CONCATENATE("          ", "5545", " - ", "FREIGHT-IN-SPECIAL ORDERS")</f>
        <v xml:space="preserve">          5545 - FREIGHT-IN-SPECIAL ORDERS</v>
      </c>
      <c r="C38" s="11"/>
      <c r="D38" s="2"/>
      <c r="E38" s="2"/>
      <c r="F38" s="19">
        <f t="shared" si="4"/>
        <v>0</v>
      </c>
      <c r="G38" s="2"/>
      <c r="H38" s="2"/>
      <c r="I38" s="2"/>
      <c r="J38" s="19">
        <f t="shared" si="5"/>
        <v>0</v>
      </c>
      <c r="K38" s="2"/>
      <c r="L38" s="2">
        <f t="shared" si="6"/>
        <v>0</v>
      </c>
      <c r="M38" s="2"/>
      <c r="N38" s="19">
        <f t="shared" si="7"/>
        <v>0</v>
      </c>
      <c r="O38" s="11"/>
      <c r="P38" s="2">
        <v>0</v>
      </c>
      <c r="Q38" s="2"/>
      <c r="R38" s="19">
        <f t="shared" si="8"/>
        <v>0</v>
      </c>
      <c r="S38" s="2"/>
      <c r="T38" s="2"/>
      <c r="U38" s="2"/>
      <c r="V38" s="19">
        <f t="shared" si="9"/>
        <v>0</v>
      </c>
      <c r="W38" s="2"/>
      <c r="X38" s="2">
        <f t="shared" si="10"/>
        <v>0</v>
      </c>
      <c r="Y38" s="2"/>
      <c r="Z38" s="19">
        <f t="shared" si="11"/>
        <v>0</v>
      </c>
    </row>
    <row r="39" spans="1:26" x14ac:dyDescent="0.25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25">
      <c r="A40" s="10"/>
      <c r="B40" s="26" t="s">
        <v>108</v>
      </c>
      <c r="C40" s="26"/>
      <c r="D40" s="21">
        <f>D12-D19</f>
        <v>205514.89999999997</v>
      </c>
      <c r="E40" s="13"/>
      <c r="F40" s="20">
        <f>IF(D$12=0,0,D40/D$12)</f>
        <v>0.42991975162104595</v>
      </c>
      <c r="G40" s="13"/>
      <c r="H40" s="21">
        <f>H12-H19</f>
        <v>128168</v>
      </c>
      <c r="I40" s="13"/>
      <c r="J40" s="20">
        <f>IF(H$12=0,0,H40/H$12)</f>
        <v>0.50910015332427683</v>
      </c>
      <c r="K40" s="15"/>
      <c r="L40" s="21">
        <f>+D40-H40</f>
        <v>77346.899999999965</v>
      </c>
      <c r="M40" s="15"/>
      <c r="N40" s="20">
        <f>IF(H40=0,0,L40/H40)</f>
        <v>0.60348058797827819</v>
      </c>
      <c r="O40" s="25"/>
      <c r="P40" s="21">
        <f>P12-P19</f>
        <v>691832.67999999993</v>
      </c>
      <c r="Q40" s="13"/>
      <c r="R40" s="20">
        <f>IF(P$12=0,0,P40/P$12)</f>
        <v>0.50408730059035611</v>
      </c>
      <c r="S40" s="13"/>
      <c r="T40" s="21">
        <f>T12-T19</f>
        <v>565560</v>
      </c>
      <c r="U40" s="13"/>
      <c r="V40" s="20">
        <f>IF(T$12=0,0,T40/T$12)</f>
        <v>0.4774543870490624</v>
      </c>
      <c r="W40" s="15"/>
      <c r="X40" s="21">
        <f>+P40-T40</f>
        <v>126272.67999999993</v>
      </c>
      <c r="Y40" s="15"/>
      <c r="Z40" s="20">
        <f>IF(T40=0,0,X40/T40)</f>
        <v>0.22327017469410837</v>
      </c>
    </row>
    <row r="41" spans="1:26" x14ac:dyDescent="0.25">
      <c r="A41" s="9"/>
      <c r="B41" s="10"/>
      <c r="C41" s="9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6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25">
      <c r="A42" s="10"/>
      <c r="B42" s="25" t="s">
        <v>295</v>
      </c>
      <c r="C42" s="10"/>
      <c r="D42" s="22">
        <f>SUM(OSRRefD22x_0)</f>
        <v>105551.45000000001</v>
      </c>
      <c r="E42" s="22"/>
      <c r="F42" s="34">
        <f t="shared" ref="F42:F52" si="12">IF(D$12=0,0,D42/D$12)</f>
        <v>0.22080468699467173</v>
      </c>
      <c r="G42" s="22"/>
      <c r="H42" s="22">
        <f>SUM(OSRRefH22x_0)</f>
        <v>125276.62064711537</v>
      </c>
      <c r="I42" s="22"/>
      <c r="J42" s="34">
        <f t="shared" ref="J42:J52" si="13">IF(H$12=0,0,H42/H$12)</f>
        <v>0.49761521424531635</v>
      </c>
      <c r="K42" s="4"/>
      <c r="L42" s="22">
        <f t="shared" ref="L42:L52" si="14">+D42-H42</f>
        <v>-19725.170647115359</v>
      </c>
      <c r="M42" s="4"/>
      <c r="N42" s="34">
        <f t="shared" ref="N42:N52" si="15">IF(H42=0,0,L42/H42)</f>
        <v>-0.15745292733173316</v>
      </c>
      <c r="O42" s="10"/>
      <c r="P42" s="22">
        <f>SUM(OSRRefP22x_0)</f>
        <v>385864.96999999991</v>
      </c>
      <c r="Q42" s="22"/>
      <c r="R42" s="34">
        <f t="shared" ref="R42:R52" si="16">IF(P$12=0,0,P42/P$12)</f>
        <v>0.28115126206480839</v>
      </c>
      <c r="S42" s="22"/>
      <c r="T42" s="22">
        <f>SUM(OSRRefT22x_0)</f>
        <v>437381.50525711535</v>
      </c>
      <c r="U42" s="22"/>
      <c r="V42" s="34">
        <f t="shared" ref="V42:V52" si="17">IF(T$12=0,0,T42/T$12)</f>
        <v>0.36924414473996087</v>
      </c>
      <c r="W42" s="4"/>
      <c r="X42" s="22">
        <f t="shared" ref="X42:X52" si="18">+P42-T42</f>
        <v>-51516.535257115436</v>
      </c>
      <c r="Y42" s="4"/>
      <c r="Z42" s="34">
        <f t="shared" ref="Z42:Z52" si="19">IF(T42=0,0,X42/T42)</f>
        <v>-0.11778398180515513</v>
      </c>
    </row>
    <row r="43" spans="1:26" s="28" customFormat="1" outlineLevel="1" collapsed="1" x14ac:dyDescent="0.25">
      <c r="A43" s="29"/>
      <c r="B43" s="14" t="str">
        <f>CONCATENATE("     ","*Benefits                                         ")</f>
        <v xml:space="preserve">     *Benefits                                         </v>
      </c>
      <c r="C43" s="14"/>
      <c r="D43" s="1">
        <f>SUM(OSRRefD22_0x_0)</f>
        <v>17176.53</v>
      </c>
      <c r="E43" s="1"/>
      <c r="F43" s="5">
        <f t="shared" si="12"/>
        <v>3.5931844899379291E-2</v>
      </c>
      <c r="G43" s="1"/>
      <c r="H43" s="1">
        <f>SUM(OSRRefH22_0x_0)</f>
        <v>23371.361031730768</v>
      </c>
      <c r="I43" s="1"/>
      <c r="J43" s="5">
        <f t="shared" si="13"/>
        <v>9.2834119941414106E-2</v>
      </c>
      <c r="K43" s="1"/>
      <c r="L43" s="1">
        <f t="shared" si="14"/>
        <v>-6194.8310317307696</v>
      </c>
      <c r="M43" s="1"/>
      <c r="N43" s="5">
        <f t="shared" si="15"/>
        <v>-0.26506077345346674</v>
      </c>
      <c r="O43" s="14"/>
      <c r="P43" s="1">
        <f>SUM(OSRRefP22_0x_0)</f>
        <v>59383.07</v>
      </c>
      <c r="Q43" s="1"/>
      <c r="R43" s="5">
        <f t="shared" si="16"/>
        <v>4.3268050675299354E-2</v>
      </c>
      <c r="S43" s="1"/>
      <c r="T43" s="1">
        <f>SUM(OSRRefT22_0x_0)</f>
        <v>82251.570641730752</v>
      </c>
      <c r="U43" s="1"/>
      <c r="V43" s="5">
        <f t="shared" si="17"/>
        <v>6.9438031764216382E-2</v>
      </c>
      <c r="W43" s="1"/>
      <c r="X43" s="1">
        <f t="shared" si="18"/>
        <v>-22868.500641730752</v>
      </c>
      <c r="Y43" s="1"/>
      <c r="Z43" s="5">
        <f t="shared" si="19"/>
        <v>-0.27803117269748889</v>
      </c>
    </row>
    <row r="44" spans="1:26" s="24" customFormat="1" hidden="1" outlineLevel="2" x14ac:dyDescent="0.25">
      <c r="A44" s="27"/>
      <c r="B44" s="11" t="str">
        <f>CONCATENATE("          ", "6111", " - ", "F.I.C.A.")</f>
        <v xml:space="preserve">          6111 - F.I.C.A.</v>
      </c>
      <c r="C44" s="11"/>
      <c r="D44" s="7">
        <v>3183.03</v>
      </c>
      <c r="E44" s="2"/>
      <c r="F44" s="6">
        <f t="shared" si="12"/>
        <v>6.6586289704655879E-3</v>
      </c>
      <c r="G44" s="2"/>
      <c r="H44" s="7">
        <v>6029.2468009615404</v>
      </c>
      <c r="I44" s="2"/>
      <c r="J44" s="6">
        <f t="shared" si="13"/>
        <v>2.394896129142552E-2</v>
      </c>
      <c r="K44" s="2"/>
      <c r="L44" s="7">
        <f t="shared" si="14"/>
        <v>-2846.2168009615402</v>
      </c>
      <c r="M44" s="2"/>
      <c r="N44" s="6">
        <f t="shared" si="15"/>
        <v>-0.47206838514350208</v>
      </c>
      <c r="O44" s="11"/>
      <c r="P44" s="7">
        <v>12959.23</v>
      </c>
      <c r="Q44" s="2"/>
      <c r="R44" s="6">
        <f t="shared" si="16"/>
        <v>9.4424323355606164E-3</v>
      </c>
      <c r="S44" s="2"/>
      <c r="T44" s="7">
        <v>17335.559410961501</v>
      </c>
      <c r="U44" s="2"/>
      <c r="V44" s="6">
        <f t="shared" si="17"/>
        <v>1.4634943936475757E-2</v>
      </c>
      <c r="W44" s="2"/>
      <c r="X44" s="7">
        <f t="shared" si="18"/>
        <v>-4376.3294109615017</v>
      </c>
      <c r="Y44" s="2"/>
      <c r="Z44" s="6">
        <f t="shared" si="19"/>
        <v>-0.25244812164494046</v>
      </c>
    </row>
    <row r="45" spans="1:26" s="24" customFormat="1" hidden="1" outlineLevel="2" x14ac:dyDescent="0.25">
      <c r="A45" s="27"/>
      <c r="B45" s="11" t="str">
        <f>CONCATENATE("          ", "6112", " - ", "COMPENSATION INSURANCE")</f>
        <v xml:space="preserve">          6112 - COMPENSATION INSURANCE</v>
      </c>
      <c r="C45" s="11"/>
      <c r="D45" s="7">
        <v>1239.96</v>
      </c>
      <c r="E45" s="2"/>
      <c r="F45" s="6">
        <f t="shared" si="12"/>
        <v>2.593891222583045E-3</v>
      </c>
      <c r="G45" s="2"/>
      <c r="H45" s="7">
        <v>1272.3599999999999</v>
      </c>
      <c r="I45" s="2"/>
      <c r="J45" s="6">
        <f t="shared" si="13"/>
        <v>5.0539812674277266E-3</v>
      </c>
      <c r="K45" s="2"/>
      <c r="L45" s="7">
        <f t="shared" si="14"/>
        <v>-32.399999999999864</v>
      </c>
      <c r="M45" s="2"/>
      <c r="N45" s="6">
        <f t="shared" si="15"/>
        <v>-2.5464491181740913E-2</v>
      </c>
      <c r="O45" s="11"/>
      <c r="P45" s="7">
        <v>3782.6</v>
      </c>
      <c r="Q45" s="2"/>
      <c r="R45" s="6">
        <f t="shared" si="16"/>
        <v>2.7561008294853624E-3</v>
      </c>
      <c r="S45" s="2"/>
      <c r="T45" s="7">
        <v>4580.4960000000001</v>
      </c>
      <c r="U45" s="2"/>
      <c r="V45" s="6">
        <f t="shared" si="17"/>
        <v>3.8669246588526104E-3</v>
      </c>
      <c r="W45" s="2"/>
      <c r="X45" s="7">
        <f t="shared" si="18"/>
        <v>-797.89600000000019</v>
      </c>
      <c r="Y45" s="2"/>
      <c r="Z45" s="6">
        <f t="shared" si="19"/>
        <v>-0.1741942357334228</v>
      </c>
    </row>
    <row r="46" spans="1:26" s="24" customFormat="1" hidden="1" outlineLevel="2" x14ac:dyDescent="0.25">
      <c r="A46" s="27"/>
      <c r="B46" s="11" t="str">
        <f>CONCATENATE("          ", "6113", " - ", "GROUP INSURANCE")</f>
        <v xml:space="preserve">          6113 - GROUP INSURANCE</v>
      </c>
      <c r="C46" s="11"/>
      <c r="D46" s="7">
        <v>4811.13</v>
      </c>
      <c r="E46" s="2"/>
      <c r="F46" s="6">
        <f t="shared" si="12"/>
        <v>1.0064476174800772E-2</v>
      </c>
      <c r="G46" s="2"/>
      <c r="H46" s="7">
        <v>8382.1538461538494</v>
      </c>
      <c r="I46" s="2"/>
      <c r="J46" s="6">
        <f t="shared" si="13"/>
        <v>3.3295017541543924E-2</v>
      </c>
      <c r="K46" s="2"/>
      <c r="L46" s="7">
        <f t="shared" si="14"/>
        <v>-3571.0238461538493</v>
      </c>
      <c r="M46" s="2"/>
      <c r="N46" s="6">
        <f t="shared" si="15"/>
        <v>-0.4260269987519274</v>
      </c>
      <c r="O46" s="11"/>
      <c r="P46" s="7">
        <v>19278.27</v>
      </c>
      <c r="Q46" s="2"/>
      <c r="R46" s="6">
        <f t="shared" si="16"/>
        <v>1.4046649378216775E-2</v>
      </c>
      <c r="S46" s="2"/>
      <c r="T46" s="7">
        <v>32310.153846153898</v>
      </c>
      <c r="U46" s="2"/>
      <c r="V46" s="6">
        <f t="shared" si="17"/>
        <v>2.7276725192864268E-2</v>
      </c>
      <c r="W46" s="2"/>
      <c r="X46" s="7">
        <f t="shared" si="18"/>
        <v>-13031.883846153898</v>
      </c>
      <c r="Y46" s="2"/>
      <c r="Z46" s="6">
        <f t="shared" si="19"/>
        <v>-0.40333710288739999</v>
      </c>
    </row>
    <row r="47" spans="1:26" s="24" customFormat="1" hidden="1" outlineLevel="2" x14ac:dyDescent="0.25">
      <c r="A47" s="27"/>
      <c r="B47" s="11" t="str">
        <f>CONCATENATE("          ", "6114", " - ", "STATE UNEMPLOYMENT INSURANCE")</f>
        <v xml:space="preserve">          6114 - STATE UNEMPLOYMENT INSURANCE</v>
      </c>
      <c r="C47" s="11"/>
      <c r="D47" s="7">
        <v>217.83</v>
      </c>
      <c r="E47" s="2"/>
      <c r="F47" s="6">
        <f t="shared" si="12"/>
        <v>4.5568189700898797E-4</v>
      </c>
      <c r="G47" s="2"/>
      <c r="H47" s="7">
        <v>171.27923076923099</v>
      </c>
      <c r="I47" s="2"/>
      <c r="J47" s="6">
        <f t="shared" si="13"/>
        <v>6.8034363215373336E-4</v>
      </c>
      <c r="K47" s="2"/>
      <c r="L47" s="7">
        <f t="shared" si="14"/>
        <v>46.550769230769021</v>
      </c>
      <c r="M47" s="2"/>
      <c r="N47" s="6">
        <f t="shared" si="15"/>
        <v>0.27178291858099302</v>
      </c>
      <c r="O47" s="11"/>
      <c r="P47" s="7">
        <v>664.5</v>
      </c>
      <c r="Q47" s="2"/>
      <c r="R47" s="6">
        <f t="shared" si="16"/>
        <v>4.8417199841194501E-4</v>
      </c>
      <c r="S47" s="2"/>
      <c r="T47" s="7">
        <v>616.60523076923096</v>
      </c>
      <c r="U47" s="2"/>
      <c r="V47" s="6">
        <f t="shared" si="17"/>
        <v>5.2054755023015918E-4</v>
      </c>
      <c r="W47" s="2"/>
      <c r="X47" s="7">
        <f t="shared" si="18"/>
        <v>47.894769230769043</v>
      </c>
      <c r="Y47" s="2"/>
      <c r="Z47" s="6">
        <f t="shared" si="19"/>
        <v>7.7674931772828262E-2</v>
      </c>
    </row>
    <row r="48" spans="1:26" s="24" customFormat="1" hidden="1" outlineLevel="2" x14ac:dyDescent="0.25">
      <c r="A48" s="27"/>
      <c r="B48" s="11" t="str">
        <f>CONCATENATE("          ", "6115", " - ", "P.E.R.S.")</f>
        <v xml:space="preserve">          6115 - P.E.R.S.</v>
      </c>
      <c r="C48" s="11"/>
      <c r="D48" s="7">
        <v>2369.23</v>
      </c>
      <c r="E48" s="2"/>
      <c r="F48" s="6">
        <f t="shared" si="12"/>
        <v>4.9562283471083161E-3</v>
      </c>
      <c r="G48" s="2"/>
      <c r="H48" s="7">
        <v>1766.6798076923101</v>
      </c>
      <c r="I48" s="2"/>
      <c r="J48" s="6">
        <f t="shared" si="13"/>
        <v>7.0174845591025768E-3</v>
      </c>
      <c r="K48" s="2"/>
      <c r="L48" s="7">
        <f t="shared" si="14"/>
        <v>602.55019230768994</v>
      </c>
      <c r="M48" s="2"/>
      <c r="N48" s="6">
        <f t="shared" si="15"/>
        <v>0.3410636096502167</v>
      </c>
      <c r="O48" s="11"/>
      <c r="P48" s="7">
        <v>7107.67</v>
      </c>
      <c r="Q48" s="2"/>
      <c r="R48" s="6">
        <f t="shared" si="16"/>
        <v>5.1788333904478996E-3</v>
      </c>
      <c r="S48" s="2"/>
      <c r="T48" s="7">
        <v>6360.0473076923099</v>
      </c>
      <c r="U48" s="2"/>
      <c r="V48" s="6">
        <f t="shared" si="17"/>
        <v>5.3692490432443443E-3</v>
      </c>
      <c r="W48" s="2"/>
      <c r="X48" s="7">
        <f t="shared" si="18"/>
        <v>747.62269230769016</v>
      </c>
      <c r="Y48" s="2"/>
      <c r="Z48" s="6">
        <f t="shared" si="19"/>
        <v>0.11754986341115108</v>
      </c>
    </row>
    <row r="49" spans="1:26" s="24" customFormat="1" hidden="1" outlineLevel="2" x14ac:dyDescent="0.25">
      <c r="A49" s="27"/>
      <c r="B49" s="11" t="str">
        <f>CONCATENATE("          ", "6116", " - ", "EDUCATIONAL BENEFITS")</f>
        <v xml:space="preserve">          6116 - EDUCATIONAL BENEFITS</v>
      </c>
      <c r="C49" s="11"/>
      <c r="D49" s="7"/>
      <c r="E49" s="2"/>
      <c r="F49" s="6">
        <f t="shared" si="12"/>
        <v>0</v>
      </c>
      <c r="G49" s="2"/>
      <c r="H49" s="7">
        <v>0</v>
      </c>
      <c r="I49" s="2"/>
      <c r="J49" s="6">
        <f t="shared" si="13"/>
        <v>0</v>
      </c>
      <c r="K49" s="2"/>
      <c r="L49" s="7">
        <f t="shared" si="14"/>
        <v>0</v>
      </c>
      <c r="M49" s="2"/>
      <c r="N49" s="6">
        <f t="shared" si="15"/>
        <v>0</v>
      </c>
      <c r="O49" s="11"/>
      <c r="P49" s="7"/>
      <c r="Q49" s="2"/>
      <c r="R49" s="6">
        <f t="shared" si="16"/>
        <v>0</v>
      </c>
      <c r="S49" s="2"/>
      <c r="T49" s="7">
        <v>0</v>
      </c>
      <c r="U49" s="2"/>
      <c r="V49" s="6">
        <f t="shared" si="17"/>
        <v>0</v>
      </c>
      <c r="W49" s="2"/>
      <c r="X49" s="7">
        <f t="shared" si="18"/>
        <v>0</v>
      </c>
      <c r="Y49" s="2"/>
      <c r="Z49" s="6">
        <f t="shared" si="19"/>
        <v>0</v>
      </c>
    </row>
    <row r="50" spans="1:26" s="24" customFormat="1" hidden="1" outlineLevel="2" x14ac:dyDescent="0.25">
      <c r="A50" s="27"/>
      <c r="B50" s="11" t="str">
        <f>CONCATENATE("          ", "6118", " - ", "VACATION")</f>
        <v xml:space="preserve">          6118 - VACATION</v>
      </c>
      <c r="C50" s="11"/>
      <c r="D50" s="7">
        <v>2567.2800000000002</v>
      </c>
      <c r="E50" s="2"/>
      <c r="F50" s="6">
        <f t="shared" si="12"/>
        <v>5.370532160644698E-3</v>
      </c>
      <c r="G50" s="2"/>
      <c r="H50" s="7">
        <v>1542.1394230769199</v>
      </c>
      <c r="I50" s="2"/>
      <c r="J50" s="6">
        <f t="shared" si="13"/>
        <v>6.1255806186869717E-3</v>
      </c>
      <c r="K50" s="2"/>
      <c r="L50" s="7">
        <f t="shared" si="14"/>
        <v>1025.1405769230803</v>
      </c>
      <c r="M50" s="2"/>
      <c r="N50" s="6">
        <f t="shared" si="15"/>
        <v>0.66475220176765271</v>
      </c>
      <c r="O50" s="11"/>
      <c r="P50" s="7">
        <v>7570.69</v>
      </c>
      <c r="Q50" s="2"/>
      <c r="R50" s="6">
        <f t="shared" si="16"/>
        <v>5.5162018158876266E-3</v>
      </c>
      <c r="S50" s="2"/>
      <c r="T50" s="7">
        <v>5551.7019230769201</v>
      </c>
      <c r="U50" s="2"/>
      <c r="V50" s="6">
        <f t="shared" si="17"/>
        <v>4.6868315276218124E-3</v>
      </c>
      <c r="W50" s="2"/>
      <c r="X50" s="7">
        <f t="shared" si="18"/>
        <v>2018.9880769230795</v>
      </c>
      <c r="Y50" s="2"/>
      <c r="Z50" s="6">
        <f t="shared" si="19"/>
        <v>0.36367011502016944</v>
      </c>
    </row>
    <row r="51" spans="1:26" s="24" customFormat="1" hidden="1" outlineLevel="2" x14ac:dyDescent="0.25">
      <c r="A51" s="27"/>
      <c r="B51" s="11" t="str">
        <f>CONCATENATE("          ", "6119", " - ", "SICK LEAVE")</f>
        <v xml:space="preserve">          6119 - SICK LEAVE</v>
      </c>
      <c r="C51" s="11"/>
      <c r="D51" s="7">
        <v>1680.63</v>
      </c>
      <c r="E51" s="2"/>
      <c r="F51" s="6">
        <f t="shared" si="12"/>
        <v>3.5157355119598559E-3</v>
      </c>
      <c r="G51" s="2"/>
      <c r="H51" s="7">
        <v>3332.5019230769199</v>
      </c>
      <c r="I51" s="2"/>
      <c r="J51" s="6">
        <f t="shared" si="13"/>
        <v>1.3237135946506986E-2</v>
      </c>
      <c r="K51" s="2"/>
      <c r="L51" s="7">
        <f t="shared" si="14"/>
        <v>-1651.8719230769198</v>
      </c>
      <c r="M51" s="2"/>
      <c r="N51" s="6">
        <f t="shared" si="15"/>
        <v>-0.49568521225390205</v>
      </c>
      <c r="O51" s="11"/>
      <c r="P51" s="7">
        <v>5041.8900000000003</v>
      </c>
      <c r="Q51" s="2"/>
      <c r="R51" s="6">
        <f t="shared" si="16"/>
        <v>3.6736523056030124E-3</v>
      </c>
      <c r="S51" s="2"/>
      <c r="T51" s="7">
        <v>11997.0069230769</v>
      </c>
      <c r="U51" s="2"/>
      <c r="V51" s="6">
        <f t="shared" si="17"/>
        <v>1.0128056416438644E-2</v>
      </c>
      <c r="W51" s="2"/>
      <c r="X51" s="7">
        <f t="shared" si="18"/>
        <v>-6955.1169230769001</v>
      </c>
      <c r="Y51" s="2"/>
      <c r="Z51" s="6">
        <f t="shared" si="19"/>
        <v>-0.57973767687825128</v>
      </c>
    </row>
    <row r="52" spans="1:26" s="24" customFormat="1" hidden="1" outlineLevel="2" x14ac:dyDescent="0.25">
      <c r="A52" s="27"/>
      <c r="B52" s="11" t="str">
        <f>CONCATENATE("          ", "6156", " - ", "EMPLOYEE MEALS")</f>
        <v xml:space="preserve">          6156 - EMPLOYEE MEALS</v>
      </c>
      <c r="C52" s="11"/>
      <c r="D52" s="7">
        <v>1107.44</v>
      </c>
      <c r="E52" s="2"/>
      <c r="F52" s="6">
        <f t="shared" si="12"/>
        <v>2.316670614808032E-3</v>
      </c>
      <c r="G52" s="2"/>
      <c r="H52" s="7">
        <v>875</v>
      </c>
      <c r="I52" s="2"/>
      <c r="J52" s="6">
        <f t="shared" si="13"/>
        <v>3.4756150845666801E-3</v>
      </c>
      <c r="K52" s="2"/>
      <c r="L52" s="7">
        <f t="shared" si="14"/>
        <v>232.44000000000005</v>
      </c>
      <c r="M52" s="2"/>
      <c r="N52" s="6">
        <f t="shared" si="15"/>
        <v>0.26564571428571437</v>
      </c>
      <c r="O52" s="11"/>
      <c r="P52" s="7">
        <v>2978.22</v>
      </c>
      <c r="Q52" s="2"/>
      <c r="R52" s="6">
        <f t="shared" si="16"/>
        <v>2.1700086216861142E-3</v>
      </c>
      <c r="S52" s="2"/>
      <c r="T52" s="7">
        <v>3500</v>
      </c>
      <c r="U52" s="2"/>
      <c r="V52" s="6">
        <f t="shared" si="17"/>
        <v>2.954753438488787E-3</v>
      </c>
      <c r="W52" s="2"/>
      <c r="X52" s="7">
        <f t="shared" si="18"/>
        <v>-521.7800000000002</v>
      </c>
      <c r="Y52" s="2"/>
      <c r="Z52" s="6">
        <f t="shared" si="19"/>
        <v>-0.14908000000000005</v>
      </c>
    </row>
    <row r="53" spans="1:26" s="28" customFormat="1" outlineLevel="1" collapsed="1" x14ac:dyDescent="0.25">
      <c r="A53" s="29"/>
      <c r="B53" s="14" t="str">
        <f>CONCATENATE("     ","*Payroll                                          ")</f>
        <v xml:space="preserve">     *Payroll                                          </v>
      </c>
      <c r="C53" s="14"/>
      <c r="D53" s="1">
        <f>SUM(OSRRefD22_1x_0)</f>
        <v>64816.81</v>
      </c>
      <c r="E53" s="1"/>
      <c r="F53" s="5">
        <f t="shared" ref="F53:F63" si="20">IF(D$12=0,0,D53/D$12)</f>
        <v>0.13559127273043722</v>
      </c>
      <c r="G53" s="1"/>
      <c r="H53" s="1">
        <f>SUM(OSRRefH22_1x_0)</f>
        <v>77805.259615384595</v>
      </c>
      <c r="I53" s="1"/>
      <c r="J53" s="5">
        <f t="shared" ref="J53:J63" si="21">IF(H$12=0,0,H53/H$12)</f>
        <v>0.30905272454612276</v>
      </c>
      <c r="K53" s="1"/>
      <c r="L53" s="1">
        <f t="shared" ref="L53:L63" si="22">+D53-H53</f>
        <v>-12988.449615384598</v>
      </c>
      <c r="M53" s="1"/>
      <c r="N53" s="5">
        <f t="shared" ref="N53:N63" si="23">IF(H53=0,0,L53/H53)</f>
        <v>-0.16693536760355934</v>
      </c>
      <c r="O53" s="14"/>
      <c r="P53" s="1">
        <f>SUM(OSRRefP22_1x_0)</f>
        <v>250285.58</v>
      </c>
      <c r="Q53" s="1"/>
      <c r="R53" s="5">
        <f t="shared" ref="R53:R63" si="24">IF(P$12=0,0,P53/P$12)</f>
        <v>0.18236458907794242</v>
      </c>
      <c r="S53" s="1"/>
      <c r="T53" s="1">
        <f>SUM(OSRRefT22_1x_0)</f>
        <v>280098.93461538461</v>
      </c>
      <c r="U53" s="1"/>
      <c r="V53" s="5">
        <f t="shared" ref="V53:V63" si="25">IF(T$12=0,0,T53/T$12)</f>
        <v>0.23646379719195817</v>
      </c>
      <c r="W53" s="1"/>
      <c r="X53" s="1">
        <f t="shared" ref="X53:X63" si="26">+P53-T53</f>
        <v>-29813.354615384626</v>
      </c>
      <c r="Y53" s="1"/>
      <c r="Z53" s="5">
        <f t="shared" ref="Z53:Z63" si="27">IF(T53=0,0,X53/T53)</f>
        <v>-0.1064386576704498</v>
      </c>
    </row>
    <row r="54" spans="1:26" s="24" customFormat="1" hidden="1" outlineLevel="2" x14ac:dyDescent="0.25">
      <c r="A54" s="27"/>
      <c r="B54" s="11" t="str">
        <f>CONCATENATE("          ", "6001", " - ", "ADMINISTRATIVE SALARIES")</f>
        <v xml:space="preserve">          6001 - ADMINISTRATIVE SALARIES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25">
      <c r="A55" s="27"/>
      <c r="B55" s="11" t="str">
        <f>CONCATENATE("          ", "6002", " - ", "STAFF SALARIES")</f>
        <v xml:space="preserve">          6002 - STAFF SALARIES</v>
      </c>
      <c r="C55" s="11"/>
      <c r="D55" s="7">
        <v>16163.64</v>
      </c>
      <c r="E55" s="2"/>
      <c r="F55" s="6">
        <f t="shared" si="20"/>
        <v>3.3812964870634704E-2</v>
      </c>
      <c r="G55" s="2"/>
      <c r="H55" s="7">
        <v>18488.509615384599</v>
      </c>
      <c r="I55" s="2"/>
      <c r="J55" s="6">
        <f t="shared" si="21"/>
        <v>7.343879189758494E-2</v>
      </c>
      <c r="K55" s="2"/>
      <c r="L55" s="7">
        <f t="shared" si="22"/>
        <v>-2324.8696153845995</v>
      </c>
      <c r="M55" s="2"/>
      <c r="N55" s="6">
        <f t="shared" si="23"/>
        <v>-0.12574672938753464</v>
      </c>
      <c r="O55" s="11"/>
      <c r="P55" s="7">
        <v>67908.03</v>
      </c>
      <c r="Q55" s="2"/>
      <c r="R55" s="6">
        <f t="shared" si="24"/>
        <v>4.947955845495608E-2</v>
      </c>
      <c r="S55" s="2"/>
      <c r="T55" s="7">
        <v>66558.634615384595</v>
      </c>
      <c r="U55" s="2"/>
      <c r="V55" s="6">
        <f t="shared" si="25"/>
        <v>5.6189815568836128E-2</v>
      </c>
      <c r="W55" s="2"/>
      <c r="X55" s="7">
        <f t="shared" si="26"/>
        <v>1349.3953846154036</v>
      </c>
      <c r="Y55" s="2"/>
      <c r="Z55" s="6">
        <f t="shared" si="27"/>
        <v>2.0273784046397784E-2</v>
      </c>
    </row>
    <row r="56" spans="1:26" s="24" customFormat="1" hidden="1" outlineLevel="2" x14ac:dyDescent="0.25">
      <c r="A56" s="27"/>
      <c r="B56" s="11" t="str">
        <f>CONCATENATE("          ", "6003", " - ", "STAFF HOURLY-9 MONTH")</f>
        <v xml:space="preserve">          6003 - STAFF HOURLY-9 MONTH</v>
      </c>
      <c r="C56" s="11"/>
      <c r="D56" s="7"/>
      <c r="E56" s="2"/>
      <c r="F56" s="6">
        <f t="shared" si="20"/>
        <v>0</v>
      </c>
      <c r="G56" s="2"/>
      <c r="H56" s="7">
        <v>0</v>
      </c>
      <c r="I56" s="2"/>
      <c r="J56" s="6">
        <f t="shared" si="21"/>
        <v>0</v>
      </c>
      <c r="K56" s="2"/>
      <c r="L56" s="7">
        <f t="shared" si="22"/>
        <v>0</v>
      </c>
      <c r="M56" s="2"/>
      <c r="N56" s="6">
        <f t="shared" si="23"/>
        <v>0</v>
      </c>
      <c r="O56" s="11"/>
      <c r="P56" s="7"/>
      <c r="Q56" s="2"/>
      <c r="R56" s="6">
        <f t="shared" si="24"/>
        <v>0</v>
      </c>
      <c r="S56" s="2"/>
      <c r="T56" s="7">
        <v>0</v>
      </c>
      <c r="U56" s="2"/>
      <c r="V56" s="6">
        <f t="shared" si="25"/>
        <v>0</v>
      </c>
      <c r="W56" s="2"/>
      <c r="X56" s="7">
        <f t="shared" si="26"/>
        <v>0</v>
      </c>
      <c r="Y56" s="2"/>
      <c r="Z56" s="6">
        <f t="shared" si="27"/>
        <v>0</v>
      </c>
    </row>
    <row r="57" spans="1:26" s="24" customFormat="1" hidden="1" outlineLevel="2" x14ac:dyDescent="0.25">
      <c r="A57" s="27"/>
      <c r="B57" s="11" t="str">
        <f>CONCATENATE("          ", "6004", " - ", "STAFF HOURLY")</f>
        <v xml:space="preserve">          6004 - STAFF HOURLY</v>
      </c>
      <c r="C57" s="11"/>
      <c r="D57" s="7">
        <v>12445.29</v>
      </c>
      <c r="E57" s="2"/>
      <c r="F57" s="6">
        <f t="shared" si="20"/>
        <v>2.6034491833204738E-2</v>
      </c>
      <c r="G57" s="2"/>
      <c r="H57" s="7">
        <v>22038</v>
      </c>
      <c r="I57" s="2"/>
      <c r="J57" s="6">
        <f t="shared" si="21"/>
        <v>8.7537834552777707E-2</v>
      </c>
      <c r="K57" s="2"/>
      <c r="L57" s="7">
        <f t="shared" si="22"/>
        <v>-9592.7099999999991</v>
      </c>
      <c r="M57" s="2"/>
      <c r="N57" s="6">
        <f t="shared" si="23"/>
        <v>-0.43528042472093653</v>
      </c>
      <c r="O57" s="11"/>
      <c r="P57" s="7">
        <v>37673.760000000002</v>
      </c>
      <c r="Q57" s="2"/>
      <c r="R57" s="6">
        <f t="shared" si="24"/>
        <v>2.7450082267708051E-2</v>
      </c>
      <c r="S57" s="2"/>
      <c r="T57" s="7">
        <v>79336.800000000003</v>
      </c>
      <c r="U57" s="2"/>
      <c r="V57" s="6">
        <f t="shared" si="25"/>
        <v>6.6977337885342061E-2</v>
      </c>
      <c r="W57" s="2"/>
      <c r="X57" s="7">
        <f t="shared" si="26"/>
        <v>-41663.040000000001</v>
      </c>
      <c r="Y57" s="2"/>
      <c r="Z57" s="6">
        <f t="shared" si="27"/>
        <v>-0.52514142239162653</v>
      </c>
    </row>
    <row r="58" spans="1:26" s="24" customFormat="1" hidden="1" outlineLevel="2" x14ac:dyDescent="0.25">
      <c r="A58" s="27"/>
      <c r="B58" s="11" t="str">
        <f>CONCATENATE("          ", "6005", " - ", "TEMPORARY WAGES-HOURLY")</f>
        <v xml:space="preserve">          6005 - TEMPORARY WAGES-HOURLY</v>
      </c>
      <c r="C58" s="11"/>
      <c r="D58" s="7">
        <v>4318.3599999999997</v>
      </c>
      <c r="E58" s="2"/>
      <c r="F58" s="6">
        <f t="shared" si="20"/>
        <v>9.0336431013530415E-3</v>
      </c>
      <c r="G58" s="2"/>
      <c r="H58" s="7">
        <v>0</v>
      </c>
      <c r="I58" s="2"/>
      <c r="J58" s="6">
        <f t="shared" si="21"/>
        <v>0</v>
      </c>
      <c r="K58" s="2"/>
      <c r="L58" s="7">
        <f t="shared" si="22"/>
        <v>4318.3599999999997</v>
      </c>
      <c r="M58" s="2"/>
      <c r="N58" s="6">
        <f t="shared" si="23"/>
        <v>0</v>
      </c>
      <c r="O58" s="11"/>
      <c r="P58" s="7">
        <v>14615.29</v>
      </c>
      <c r="Q58" s="2"/>
      <c r="R58" s="6">
        <f t="shared" si="24"/>
        <v>1.0649080762483245E-2</v>
      </c>
      <c r="S58" s="2"/>
      <c r="T58" s="7">
        <v>0</v>
      </c>
      <c r="U58" s="2"/>
      <c r="V58" s="6">
        <f t="shared" si="25"/>
        <v>0</v>
      </c>
      <c r="W58" s="2"/>
      <c r="X58" s="7">
        <f t="shared" si="26"/>
        <v>14615.29</v>
      </c>
      <c r="Y58" s="2"/>
      <c r="Z58" s="6">
        <f t="shared" si="27"/>
        <v>0</v>
      </c>
    </row>
    <row r="59" spans="1:26" s="24" customFormat="1" hidden="1" outlineLevel="2" x14ac:dyDescent="0.25">
      <c r="A59" s="27"/>
      <c r="B59" s="11" t="str">
        <f>CONCATENATE("          ", "6006", " - ", "TEMPORARY PART TIME")</f>
        <v xml:space="preserve">          6006 - TEMPORARY PART TIME</v>
      </c>
      <c r="C59" s="11"/>
      <c r="D59" s="7"/>
      <c r="E59" s="2"/>
      <c r="F59" s="6">
        <f t="shared" si="20"/>
        <v>0</v>
      </c>
      <c r="G59" s="2"/>
      <c r="H59" s="7">
        <v>0</v>
      </c>
      <c r="I59" s="2"/>
      <c r="J59" s="6">
        <f t="shared" si="21"/>
        <v>0</v>
      </c>
      <c r="K59" s="2"/>
      <c r="L59" s="7">
        <f t="shared" si="22"/>
        <v>0</v>
      </c>
      <c r="M59" s="2"/>
      <c r="N59" s="6">
        <f t="shared" si="23"/>
        <v>0</v>
      </c>
      <c r="O59" s="11"/>
      <c r="P59" s="7"/>
      <c r="Q59" s="2"/>
      <c r="R59" s="6">
        <f t="shared" si="24"/>
        <v>0</v>
      </c>
      <c r="S59" s="2"/>
      <c r="T59" s="7">
        <v>0</v>
      </c>
      <c r="U59" s="2"/>
      <c r="V59" s="6">
        <f t="shared" si="25"/>
        <v>0</v>
      </c>
      <c r="W59" s="2"/>
      <c r="X59" s="7">
        <f t="shared" si="26"/>
        <v>0</v>
      </c>
      <c r="Y59" s="2"/>
      <c r="Z59" s="6">
        <f t="shared" si="27"/>
        <v>0</v>
      </c>
    </row>
    <row r="60" spans="1:26" s="24" customFormat="1" hidden="1" outlineLevel="2" x14ac:dyDescent="0.25">
      <c r="A60" s="27"/>
      <c r="B60" s="11" t="str">
        <f>CONCATENATE("          ", "6007", " - ", "STUDENT HOURLY")</f>
        <v xml:space="preserve">          6007 - STUDENT HOURLY</v>
      </c>
      <c r="C60" s="11"/>
      <c r="D60" s="7">
        <v>24865.86</v>
      </c>
      <c r="E60" s="2"/>
      <c r="F60" s="6">
        <f t="shared" si="20"/>
        <v>5.2017271521644919E-2</v>
      </c>
      <c r="G60" s="2"/>
      <c r="H60" s="7">
        <v>34500</v>
      </c>
      <c r="I60" s="2"/>
      <c r="J60" s="6">
        <f t="shared" si="21"/>
        <v>0.13703853762005769</v>
      </c>
      <c r="K60" s="2"/>
      <c r="L60" s="7">
        <f t="shared" si="22"/>
        <v>-9634.14</v>
      </c>
      <c r="M60" s="2"/>
      <c r="N60" s="6">
        <f t="shared" si="23"/>
        <v>-0.27925043478260869</v>
      </c>
      <c r="O60" s="11"/>
      <c r="P60" s="7">
        <v>100562.04</v>
      </c>
      <c r="Q60" s="2"/>
      <c r="R60" s="6">
        <f t="shared" si="24"/>
        <v>7.3272120197414525E-2</v>
      </c>
      <c r="S60" s="2"/>
      <c r="T60" s="7">
        <v>67101.75</v>
      </c>
      <c r="U60" s="2"/>
      <c r="V60" s="6">
        <f t="shared" si="25"/>
        <v>5.6648321868889989E-2</v>
      </c>
      <c r="W60" s="2"/>
      <c r="X60" s="7">
        <f t="shared" si="26"/>
        <v>33460.289999999994</v>
      </c>
      <c r="Y60" s="2"/>
      <c r="Z60" s="6">
        <f t="shared" si="27"/>
        <v>0.49865003520772549</v>
      </c>
    </row>
    <row r="61" spans="1:26" s="24" customFormat="1" hidden="1" outlineLevel="2" x14ac:dyDescent="0.25">
      <c r="A61" s="27"/>
      <c r="B61" s="11" t="str">
        <f>CONCATENATE("          ", "6008", " - ", "STUDENT HOURLY-FICA EXEMPT")</f>
        <v xml:space="preserve">          6008 - STUDENT HOURLY-FICA EXEMPT</v>
      </c>
      <c r="C61" s="11"/>
      <c r="D61" s="7">
        <v>7023.66</v>
      </c>
      <c r="E61" s="2"/>
      <c r="F61" s="6">
        <f t="shared" si="20"/>
        <v>1.4692901403599816E-2</v>
      </c>
      <c r="G61" s="2"/>
      <c r="H61" s="7">
        <v>2778.75</v>
      </c>
      <c r="I61" s="2"/>
      <c r="J61" s="6">
        <f t="shared" si="21"/>
        <v>1.1037560475702472E-2</v>
      </c>
      <c r="K61" s="2"/>
      <c r="L61" s="7">
        <f t="shared" si="22"/>
        <v>4244.91</v>
      </c>
      <c r="M61" s="2"/>
      <c r="N61" s="6">
        <f t="shared" si="23"/>
        <v>1.5276329284750336</v>
      </c>
      <c r="O61" s="11"/>
      <c r="P61" s="7">
        <v>29526.46</v>
      </c>
      <c r="Q61" s="2"/>
      <c r="R61" s="6">
        <f t="shared" si="24"/>
        <v>2.1513747395380523E-2</v>
      </c>
      <c r="S61" s="2"/>
      <c r="T61" s="7">
        <v>67101.75</v>
      </c>
      <c r="U61" s="2"/>
      <c r="V61" s="6">
        <f t="shared" si="25"/>
        <v>5.6648321868889989E-2</v>
      </c>
      <c r="W61" s="2"/>
      <c r="X61" s="7">
        <f t="shared" si="26"/>
        <v>-37575.29</v>
      </c>
      <c r="Y61" s="2"/>
      <c r="Z61" s="6">
        <f t="shared" si="27"/>
        <v>-0.55997481436773255</v>
      </c>
    </row>
    <row r="62" spans="1:26" s="24" customFormat="1" hidden="1" outlineLevel="2" x14ac:dyDescent="0.25">
      <c r="A62" s="27"/>
      <c r="B62" s="11" t="str">
        <f>CONCATENATE("          ", "6009", " - ", "TEMPORARY-SEASONAL")</f>
        <v xml:space="preserve">          6009 - TEMPORARY-SEASONAL</v>
      </c>
      <c r="C62" s="11"/>
      <c r="D62" s="7"/>
      <c r="E62" s="2"/>
      <c r="F62" s="6">
        <f t="shared" si="20"/>
        <v>0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0</v>
      </c>
      <c r="M62" s="2"/>
      <c r="N62" s="6">
        <f t="shared" si="23"/>
        <v>0</v>
      </c>
      <c r="O62" s="11"/>
      <c r="P62" s="7"/>
      <c r="Q62" s="2"/>
      <c r="R62" s="6">
        <f t="shared" si="24"/>
        <v>0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0</v>
      </c>
      <c r="Y62" s="2"/>
      <c r="Z62" s="6">
        <f t="shared" si="27"/>
        <v>0</v>
      </c>
    </row>
    <row r="63" spans="1:26" s="24" customFormat="1" hidden="1" outlineLevel="2" x14ac:dyDescent="0.25">
      <c r="A63" s="27"/>
      <c r="B63" s="11" t="str">
        <f>CONCATENATE("          ", "6010", " - ", "GRATUITY")</f>
        <v xml:space="preserve">          6010 - GRATUITY</v>
      </c>
      <c r="C63" s="11"/>
      <c r="D63" s="7"/>
      <c r="E63" s="2"/>
      <c r="F63" s="6">
        <f t="shared" si="20"/>
        <v>0</v>
      </c>
      <c r="G63" s="2"/>
      <c r="H63" s="7">
        <v>0</v>
      </c>
      <c r="I63" s="2"/>
      <c r="J63" s="6">
        <f t="shared" si="21"/>
        <v>0</v>
      </c>
      <c r="K63" s="2"/>
      <c r="L63" s="7">
        <f t="shared" si="22"/>
        <v>0</v>
      </c>
      <c r="M63" s="2"/>
      <c r="N63" s="6">
        <f t="shared" si="23"/>
        <v>0</v>
      </c>
      <c r="O63" s="11"/>
      <c r="P63" s="7"/>
      <c r="Q63" s="2"/>
      <c r="R63" s="6">
        <f t="shared" si="24"/>
        <v>0</v>
      </c>
      <c r="S63" s="2"/>
      <c r="T63" s="7">
        <v>0</v>
      </c>
      <c r="U63" s="2"/>
      <c r="V63" s="6">
        <f t="shared" si="25"/>
        <v>0</v>
      </c>
      <c r="W63" s="2"/>
      <c r="X63" s="7">
        <f t="shared" si="26"/>
        <v>0</v>
      </c>
      <c r="Y63" s="2"/>
      <c r="Z63" s="6">
        <f t="shared" si="27"/>
        <v>0</v>
      </c>
    </row>
    <row r="64" spans="1:26" s="28" customFormat="1" outlineLevel="1" collapsed="1" x14ac:dyDescent="0.25">
      <c r="A64" s="29"/>
      <c r="B64" s="14" t="str">
        <f>CONCATENATE("     ","Advertising/Promo                                 ")</f>
        <v xml:space="preserve">     Advertising/Promo                                 </v>
      </c>
      <c r="C64" s="14"/>
      <c r="D64" s="1">
        <f>SUM(OSRRefD22_2x_0)</f>
        <v>723.37</v>
      </c>
      <c r="E64" s="1"/>
      <c r="F64" s="5">
        <f t="shared" ref="F64:F76" si="28">IF(D$12=0,0,D64/D$12)</f>
        <v>1.51322872808792E-3</v>
      </c>
      <c r="G64" s="1"/>
      <c r="H64" s="1">
        <f>SUM(OSRRefH22_2x_0)</f>
        <v>100</v>
      </c>
      <c r="I64" s="1"/>
      <c r="J64" s="5">
        <f t="shared" ref="J64:J76" si="29">IF(H$12=0,0,H64/H$12)</f>
        <v>3.9721315252190629E-4</v>
      </c>
      <c r="K64" s="1"/>
      <c r="L64" s="1">
        <f t="shared" ref="L64:L76" si="30">+D64-H64</f>
        <v>623.37</v>
      </c>
      <c r="M64" s="1"/>
      <c r="N64" s="5">
        <f t="shared" ref="N64:N76" si="31">IF(H64=0,0,L64/H64)</f>
        <v>6.2336999999999998</v>
      </c>
      <c r="O64" s="14"/>
      <c r="P64" s="1">
        <f>SUM(OSRRefP22_2x_0)</f>
        <v>2490.38</v>
      </c>
      <c r="Q64" s="1"/>
      <c r="R64" s="5">
        <f t="shared" ref="R64:R76" si="32">IF(P$12=0,0,P64/P$12)</f>
        <v>1.814555698126621E-3</v>
      </c>
      <c r="S64" s="1"/>
      <c r="T64" s="1">
        <f>SUM(OSRRefT22_2x_0)</f>
        <v>1800</v>
      </c>
      <c r="U64" s="1"/>
      <c r="V64" s="5">
        <f t="shared" ref="V64:V76" si="33">IF(T$12=0,0,T64/T$12)</f>
        <v>1.5195874826513763E-3</v>
      </c>
      <c r="W64" s="1"/>
      <c r="X64" s="1">
        <f t="shared" ref="X64:X76" si="34">+P64-T64</f>
        <v>690.38000000000011</v>
      </c>
      <c r="Y64" s="1"/>
      <c r="Z64" s="5">
        <f t="shared" ref="Z64:Z76" si="35">IF(T64=0,0,X64/T64)</f>
        <v>0.38354444444444452</v>
      </c>
    </row>
    <row r="65" spans="1:26" s="24" customFormat="1" hidden="1" outlineLevel="2" x14ac:dyDescent="0.25">
      <c r="A65" s="27"/>
      <c r="B65" s="11" t="str">
        <f>CONCATENATE("          ", "6362", " - ", "ADVERTISING EXPENSE")</f>
        <v xml:space="preserve">          6362 - ADVERTISING EXPENSE</v>
      </c>
      <c r="C65" s="11"/>
      <c r="D65" s="7">
        <v>723.37</v>
      </c>
      <c r="E65" s="2"/>
      <c r="F65" s="6">
        <f t="shared" si="28"/>
        <v>1.51322872808792E-3</v>
      </c>
      <c r="G65" s="2"/>
      <c r="H65" s="7">
        <v>100</v>
      </c>
      <c r="I65" s="2"/>
      <c r="J65" s="6">
        <f t="shared" si="29"/>
        <v>3.9721315252190629E-4</v>
      </c>
      <c r="K65" s="2"/>
      <c r="L65" s="7">
        <f t="shared" si="30"/>
        <v>623.37</v>
      </c>
      <c r="M65" s="2"/>
      <c r="N65" s="6">
        <f t="shared" si="31"/>
        <v>6.2336999999999998</v>
      </c>
      <c r="O65" s="11"/>
      <c r="P65" s="7">
        <v>2490.38</v>
      </c>
      <c r="Q65" s="2"/>
      <c r="R65" s="6">
        <f t="shared" si="32"/>
        <v>1.814555698126621E-3</v>
      </c>
      <c r="S65" s="2"/>
      <c r="T65" s="7">
        <v>1800</v>
      </c>
      <c r="U65" s="2"/>
      <c r="V65" s="6">
        <f t="shared" si="33"/>
        <v>1.5195874826513763E-3</v>
      </c>
      <c r="W65" s="2"/>
      <c r="X65" s="7">
        <f t="shared" si="34"/>
        <v>690.38000000000011</v>
      </c>
      <c r="Y65" s="2"/>
      <c r="Z65" s="6">
        <f t="shared" si="35"/>
        <v>0.38354444444444452</v>
      </c>
    </row>
    <row r="66" spans="1:26" s="28" customFormat="1" outlineLevel="1" collapsed="1" x14ac:dyDescent="0.25">
      <c r="A66" s="29"/>
      <c r="B66" s="14" t="str">
        <f>CONCATENATE("     ","Bad Debts/Over/Short                              ")</f>
        <v xml:space="preserve">     Bad Debts/Over/Short                              </v>
      </c>
      <c r="C66" s="14"/>
      <c r="D66" s="1">
        <f>SUM(OSRRefD22_3x_0)</f>
        <v>-10.06</v>
      </c>
      <c r="E66" s="1"/>
      <c r="F66" s="5">
        <f t="shared" si="28"/>
        <v>-2.1044667327321393E-5</v>
      </c>
      <c r="G66" s="1"/>
      <c r="H66" s="1">
        <f>SUM(OSRRefH22_3x_0)</f>
        <v>10</v>
      </c>
      <c r="I66" s="1"/>
      <c r="J66" s="5">
        <f t="shared" si="29"/>
        <v>3.9721315252190633E-5</v>
      </c>
      <c r="K66" s="1"/>
      <c r="L66" s="1">
        <f t="shared" si="30"/>
        <v>-20.060000000000002</v>
      </c>
      <c r="M66" s="1"/>
      <c r="N66" s="5">
        <f t="shared" si="31"/>
        <v>-2.0060000000000002</v>
      </c>
      <c r="O66" s="14"/>
      <c r="P66" s="1">
        <f>SUM(OSRRefP22_3x_0)</f>
        <v>-8.36</v>
      </c>
      <c r="Q66" s="1"/>
      <c r="R66" s="5">
        <f t="shared" si="32"/>
        <v>-6.091313629381279E-6</v>
      </c>
      <c r="S66" s="1"/>
      <c r="T66" s="1">
        <f>SUM(OSRRefT22_3x_0)</f>
        <v>40</v>
      </c>
      <c r="U66" s="1"/>
      <c r="V66" s="5">
        <f t="shared" si="33"/>
        <v>3.3768610725586137E-5</v>
      </c>
      <c r="W66" s="1"/>
      <c r="X66" s="1">
        <f t="shared" si="34"/>
        <v>-48.36</v>
      </c>
      <c r="Y66" s="1"/>
      <c r="Z66" s="5">
        <f t="shared" si="35"/>
        <v>-1.2090000000000001</v>
      </c>
    </row>
    <row r="67" spans="1:26" s="24" customFormat="1" hidden="1" outlineLevel="2" x14ac:dyDescent="0.25">
      <c r="A67" s="27"/>
      <c r="B67" s="11" t="str">
        <f>CONCATENATE("          ", "6272", " - ", "CASH (OVER/SHORT)")</f>
        <v xml:space="preserve">          6272 - CASH (OVER/SHORT)</v>
      </c>
      <c r="C67" s="11"/>
      <c r="D67" s="7">
        <v>-10.06</v>
      </c>
      <c r="E67" s="2"/>
      <c r="F67" s="6">
        <f t="shared" si="28"/>
        <v>-2.1044667327321393E-5</v>
      </c>
      <c r="G67" s="2"/>
      <c r="H67" s="7">
        <v>10</v>
      </c>
      <c r="I67" s="2"/>
      <c r="J67" s="6">
        <f t="shared" si="29"/>
        <v>3.9721315252190633E-5</v>
      </c>
      <c r="K67" s="2"/>
      <c r="L67" s="7">
        <f t="shared" si="30"/>
        <v>-20.060000000000002</v>
      </c>
      <c r="M67" s="2"/>
      <c r="N67" s="6">
        <f t="shared" si="31"/>
        <v>-2.0060000000000002</v>
      </c>
      <c r="O67" s="11"/>
      <c r="P67" s="7">
        <v>-8.36</v>
      </c>
      <c r="Q67" s="2"/>
      <c r="R67" s="6">
        <f t="shared" si="32"/>
        <v>-6.091313629381279E-6</v>
      </c>
      <c r="S67" s="2"/>
      <c r="T67" s="7">
        <v>40</v>
      </c>
      <c r="U67" s="2"/>
      <c r="V67" s="6">
        <f t="shared" si="33"/>
        <v>3.3768610725586137E-5</v>
      </c>
      <c r="W67" s="2"/>
      <c r="X67" s="7">
        <f t="shared" si="34"/>
        <v>-48.36</v>
      </c>
      <c r="Y67" s="2"/>
      <c r="Z67" s="6">
        <f t="shared" si="35"/>
        <v>-1.2090000000000001</v>
      </c>
    </row>
    <row r="68" spans="1:26" s="28" customFormat="1" outlineLevel="1" collapsed="1" x14ac:dyDescent="0.25">
      <c r="A68" s="29"/>
      <c r="B68" s="14" t="str">
        <f>CONCATENATE("     ","Bank/card Fees                                    ")</f>
        <v xml:space="preserve">     Bank/card Fees                                    </v>
      </c>
      <c r="C68" s="14"/>
      <c r="D68" s="1">
        <f>SUM(OSRRefD22_4x_0)</f>
        <v>419.96</v>
      </c>
      <c r="E68" s="1"/>
      <c r="F68" s="5">
        <f t="shared" si="28"/>
        <v>8.7852072472981027E-4</v>
      </c>
      <c r="G68" s="1"/>
      <c r="H68" s="1">
        <f>SUM(OSRRefH22_4x_0)</f>
        <v>417</v>
      </c>
      <c r="I68" s="1"/>
      <c r="J68" s="5">
        <f t="shared" si="29"/>
        <v>1.6563788460163492E-3</v>
      </c>
      <c r="K68" s="1"/>
      <c r="L68" s="1">
        <f t="shared" si="30"/>
        <v>2.9599999999999795</v>
      </c>
      <c r="M68" s="1"/>
      <c r="N68" s="5">
        <f t="shared" si="31"/>
        <v>7.0983213429256101E-3</v>
      </c>
      <c r="O68" s="14"/>
      <c r="P68" s="1">
        <f>SUM(OSRRefP22_4x_0)</f>
        <v>1921.94</v>
      </c>
      <c r="Q68" s="1"/>
      <c r="R68" s="5">
        <f t="shared" si="32"/>
        <v>1.4003755163699829E-3</v>
      </c>
      <c r="S68" s="1"/>
      <c r="T68" s="1">
        <f>SUM(OSRRefT22_4x_0)</f>
        <v>1965</v>
      </c>
      <c r="U68" s="1"/>
      <c r="V68" s="5">
        <f t="shared" si="33"/>
        <v>1.658883001894419E-3</v>
      </c>
      <c r="W68" s="1"/>
      <c r="X68" s="1">
        <f t="shared" si="34"/>
        <v>-43.059999999999945</v>
      </c>
      <c r="Y68" s="1"/>
      <c r="Z68" s="5">
        <f t="shared" si="35"/>
        <v>-2.1913486005089029E-2</v>
      </c>
    </row>
    <row r="69" spans="1:26" s="24" customFormat="1" hidden="1" outlineLevel="2" x14ac:dyDescent="0.25">
      <c r="A69" s="27"/>
      <c r="B69" s="11" t="str">
        <f>CONCATENATE("          ", "6381", " - ", "BANK/CREDIT CARD FEES")</f>
        <v xml:space="preserve">          6381 - BANK/CREDIT CARD FEES</v>
      </c>
      <c r="C69" s="11"/>
      <c r="D69" s="7">
        <v>419.96</v>
      </c>
      <c r="E69" s="2"/>
      <c r="F69" s="6">
        <f t="shared" si="28"/>
        <v>8.7852072472981027E-4</v>
      </c>
      <c r="G69" s="2"/>
      <c r="H69" s="7">
        <v>417</v>
      </c>
      <c r="I69" s="2"/>
      <c r="J69" s="6">
        <f t="shared" si="29"/>
        <v>1.6563788460163492E-3</v>
      </c>
      <c r="K69" s="2"/>
      <c r="L69" s="7">
        <f t="shared" si="30"/>
        <v>2.9599999999999795</v>
      </c>
      <c r="M69" s="2"/>
      <c r="N69" s="6">
        <f t="shared" si="31"/>
        <v>7.0983213429256101E-3</v>
      </c>
      <c r="O69" s="11"/>
      <c r="P69" s="7">
        <v>1921.94</v>
      </c>
      <c r="Q69" s="2"/>
      <c r="R69" s="6">
        <f t="shared" si="32"/>
        <v>1.4003755163699829E-3</v>
      </c>
      <c r="S69" s="2"/>
      <c r="T69" s="7">
        <v>1965</v>
      </c>
      <c r="U69" s="2"/>
      <c r="V69" s="6">
        <f t="shared" si="33"/>
        <v>1.658883001894419E-3</v>
      </c>
      <c r="W69" s="2"/>
      <c r="X69" s="7">
        <f t="shared" si="34"/>
        <v>-43.059999999999945</v>
      </c>
      <c r="Y69" s="2"/>
      <c r="Z69" s="6">
        <f t="shared" si="35"/>
        <v>-2.1913486005089029E-2</v>
      </c>
    </row>
    <row r="70" spans="1:26" s="28" customFormat="1" outlineLevel="1" collapsed="1" x14ac:dyDescent="0.25">
      <c r="A70" s="29"/>
      <c r="B70" s="14" t="str">
        <f>CONCATENATE("     ","Discounts and Markdowns                           ")</f>
        <v xml:space="preserve">     Discounts and Markdowns                           </v>
      </c>
      <c r="C70" s="14"/>
      <c r="D70" s="1">
        <f>SUM(OSRRefD22_5x_0)</f>
        <v>0</v>
      </c>
      <c r="E70" s="1"/>
      <c r="F70" s="5">
        <f t="shared" si="28"/>
        <v>0</v>
      </c>
      <c r="G70" s="1"/>
      <c r="H70" s="1">
        <f>SUM(OSRRefH22_5x_0)</f>
        <v>0</v>
      </c>
      <c r="I70" s="1"/>
      <c r="J70" s="5">
        <f t="shared" si="29"/>
        <v>0</v>
      </c>
      <c r="K70" s="1"/>
      <c r="L70" s="1">
        <f t="shared" si="30"/>
        <v>0</v>
      </c>
      <c r="M70" s="1"/>
      <c r="N70" s="5">
        <f t="shared" si="31"/>
        <v>0</v>
      </c>
      <c r="O70" s="14"/>
      <c r="P70" s="1">
        <f>SUM(OSRRefP22_5x_0)</f>
        <v>0</v>
      </c>
      <c r="Q70" s="1"/>
      <c r="R70" s="5">
        <f t="shared" si="32"/>
        <v>0</v>
      </c>
      <c r="S70" s="1"/>
      <c r="T70" s="1">
        <f>SUM(OSRRefT22_5x_0)</f>
        <v>0</v>
      </c>
      <c r="U70" s="1"/>
      <c r="V70" s="5">
        <f t="shared" si="33"/>
        <v>0</v>
      </c>
      <c r="W70" s="1"/>
      <c r="X70" s="1">
        <f t="shared" si="34"/>
        <v>0</v>
      </c>
      <c r="Y70" s="1"/>
      <c r="Z70" s="5">
        <f t="shared" si="35"/>
        <v>0</v>
      </c>
    </row>
    <row r="71" spans="1:26" s="24" customFormat="1" hidden="1" outlineLevel="2" x14ac:dyDescent="0.25">
      <c r="A71" s="27"/>
      <c r="B71" s="11" t="str">
        <f>CONCATENATE("          ", "9175", " - ", "EARNED DISCOUNTS")</f>
        <v xml:space="preserve">          9175 - EARNED DISCOUNTS</v>
      </c>
      <c r="C71" s="11"/>
      <c r="D71" s="7">
        <v>0</v>
      </c>
      <c r="E71" s="2"/>
      <c r="F71" s="6">
        <f t="shared" si="28"/>
        <v>0</v>
      </c>
      <c r="G71" s="2"/>
      <c r="H71" s="7"/>
      <c r="I71" s="2"/>
      <c r="J71" s="6">
        <f t="shared" si="29"/>
        <v>0</v>
      </c>
      <c r="K71" s="2"/>
      <c r="L71" s="7">
        <f t="shared" si="30"/>
        <v>0</v>
      </c>
      <c r="M71" s="2"/>
      <c r="N71" s="6">
        <f t="shared" si="31"/>
        <v>0</v>
      </c>
      <c r="O71" s="11"/>
      <c r="P71" s="7">
        <v>0</v>
      </c>
      <c r="Q71" s="2"/>
      <c r="R71" s="6">
        <f t="shared" si="32"/>
        <v>0</v>
      </c>
      <c r="S71" s="2"/>
      <c r="T71" s="7"/>
      <c r="U71" s="2"/>
      <c r="V71" s="6">
        <f t="shared" si="33"/>
        <v>0</v>
      </c>
      <c r="W71" s="2"/>
      <c r="X71" s="7">
        <f t="shared" si="34"/>
        <v>0</v>
      </c>
      <c r="Y71" s="2"/>
      <c r="Z71" s="6">
        <f t="shared" si="35"/>
        <v>0</v>
      </c>
    </row>
    <row r="72" spans="1:26" s="28" customFormat="1" outlineLevel="1" collapsed="1" x14ac:dyDescent="0.25">
      <c r="A72" s="29"/>
      <c r="B72" s="14" t="str">
        <f>CONCATENATE("     ","Employees' Appreciation                           ")</f>
        <v xml:space="preserve">     Employees' Appreciation                           </v>
      </c>
      <c r="C72" s="14"/>
      <c r="D72" s="1">
        <f>SUM(OSRRefD22_6x_0)</f>
        <v>0</v>
      </c>
      <c r="E72" s="1"/>
      <c r="F72" s="5">
        <f t="shared" si="28"/>
        <v>0</v>
      </c>
      <c r="G72" s="1"/>
      <c r="H72" s="1">
        <f>SUM(OSRRefH22_6x_0)</f>
        <v>75</v>
      </c>
      <c r="I72" s="1"/>
      <c r="J72" s="5">
        <f t="shared" si="29"/>
        <v>2.9790986439142975E-4</v>
      </c>
      <c r="K72" s="1"/>
      <c r="L72" s="1">
        <f t="shared" si="30"/>
        <v>-75</v>
      </c>
      <c r="M72" s="1"/>
      <c r="N72" s="5">
        <f t="shared" si="31"/>
        <v>-1</v>
      </c>
      <c r="O72" s="14"/>
      <c r="P72" s="1">
        <f>SUM(OSRRefP22_6x_0)</f>
        <v>216.44</v>
      </c>
      <c r="Q72" s="1"/>
      <c r="R72" s="5">
        <f t="shared" si="32"/>
        <v>1.5770381841426843E-4</v>
      </c>
      <c r="S72" s="1"/>
      <c r="T72" s="1">
        <f>SUM(OSRRefT22_6x_0)</f>
        <v>300</v>
      </c>
      <c r="U72" s="1"/>
      <c r="V72" s="5">
        <f t="shared" si="33"/>
        <v>2.5326458044189605E-4</v>
      </c>
      <c r="W72" s="1"/>
      <c r="X72" s="1">
        <f t="shared" si="34"/>
        <v>-83.56</v>
      </c>
      <c r="Y72" s="1"/>
      <c r="Z72" s="5">
        <f t="shared" si="35"/>
        <v>-0.27853333333333335</v>
      </c>
    </row>
    <row r="73" spans="1:26" s="24" customFormat="1" hidden="1" outlineLevel="2" x14ac:dyDescent="0.25">
      <c r="A73" s="27"/>
      <c r="B73" s="11" t="str">
        <f>CONCATENATE("          ", "6277", " - ", "EMPLOYEE APPRECIATION")</f>
        <v xml:space="preserve">          6277 - EMPLOYEE APPRECIATION</v>
      </c>
      <c r="C73" s="11"/>
      <c r="D73" s="7"/>
      <c r="E73" s="2"/>
      <c r="F73" s="6">
        <f t="shared" si="28"/>
        <v>0</v>
      </c>
      <c r="G73" s="2"/>
      <c r="H73" s="7">
        <v>75</v>
      </c>
      <c r="I73" s="2"/>
      <c r="J73" s="6">
        <f t="shared" si="29"/>
        <v>2.9790986439142975E-4</v>
      </c>
      <c r="K73" s="2"/>
      <c r="L73" s="7">
        <f t="shared" si="30"/>
        <v>-75</v>
      </c>
      <c r="M73" s="2"/>
      <c r="N73" s="6">
        <f t="shared" si="31"/>
        <v>-1</v>
      </c>
      <c r="O73" s="11"/>
      <c r="P73" s="7">
        <v>216.44</v>
      </c>
      <c r="Q73" s="2"/>
      <c r="R73" s="6">
        <f t="shared" si="32"/>
        <v>1.5770381841426843E-4</v>
      </c>
      <c r="S73" s="2"/>
      <c r="T73" s="7">
        <v>300</v>
      </c>
      <c r="U73" s="2"/>
      <c r="V73" s="6">
        <f t="shared" si="33"/>
        <v>2.5326458044189605E-4</v>
      </c>
      <c r="W73" s="2"/>
      <c r="X73" s="7">
        <f t="shared" si="34"/>
        <v>-83.56</v>
      </c>
      <c r="Y73" s="2"/>
      <c r="Z73" s="6">
        <f t="shared" si="35"/>
        <v>-0.27853333333333335</v>
      </c>
    </row>
    <row r="74" spans="1:26" s="28" customFormat="1" outlineLevel="1" collapsed="1" x14ac:dyDescent="0.25">
      <c r="A74" s="29"/>
      <c r="B74" s="14" t="str">
        <f>CONCATENATE("     ","Freight out/Postage                               ")</f>
        <v xml:space="preserve">     Freight out/Postage                               </v>
      </c>
      <c r="C74" s="14"/>
      <c r="D74" s="1">
        <f>SUM(OSRRefD22_7x_0)</f>
        <v>19.82</v>
      </c>
      <c r="E74" s="1"/>
      <c r="F74" s="5">
        <f t="shared" si="28"/>
        <v>4.146176008225745E-5</v>
      </c>
      <c r="G74" s="1"/>
      <c r="H74" s="1">
        <f>SUM(OSRRefH22_7x_0)</f>
        <v>50</v>
      </c>
      <c r="I74" s="1"/>
      <c r="J74" s="5">
        <f t="shared" si="29"/>
        <v>1.9860657626095314E-4</v>
      </c>
      <c r="K74" s="1"/>
      <c r="L74" s="1">
        <f t="shared" si="30"/>
        <v>-30.18</v>
      </c>
      <c r="M74" s="1"/>
      <c r="N74" s="5">
        <f t="shared" si="31"/>
        <v>-0.60360000000000003</v>
      </c>
      <c r="O74" s="14"/>
      <c r="P74" s="1">
        <f>SUM(OSRRefP22_7x_0)</f>
        <v>925.77</v>
      </c>
      <c r="Q74" s="1"/>
      <c r="R74" s="5">
        <f t="shared" si="32"/>
        <v>6.7454012185075448E-4</v>
      </c>
      <c r="S74" s="1"/>
      <c r="T74" s="1">
        <f>SUM(OSRRefT22_7x_0)</f>
        <v>200</v>
      </c>
      <c r="U74" s="1"/>
      <c r="V74" s="5">
        <f t="shared" si="33"/>
        <v>1.6884305362793069E-4</v>
      </c>
      <c r="W74" s="1"/>
      <c r="X74" s="1">
        <f t="shared" si="34"/>
        <v>725.77</v>
      </c>
      <c r="Y74" s="1"/>
      <c r="Z74" s="5">
        <f t="shared" si="35"/>
        <v>3.6288499999999999</v>
      </c>
    </row>
    <row r="75" spans="1:26" s="24" customFormat="1" hidden="1" outlineLevel="2" x14ac:dyDescent="0.25">
      <c r="A75" s="27"/>
      <c r="B75" s="11" t="str">
        <f>CONCATENATE("          ", "6305", " - ", "FREIGHT OUT")</f>
        <v xml:space="preserve">          6305 - FREIGHT OUT</v>
      </c>
      <c r="C75" s="11"/>
      <c r="D75" s="7">
        <v>19.82</v>
      </c>
      <c r="E75" s="2"/>
      <c r="F75" s="6">
        <f t="shared" si="28"/>
        <v>4.146176008225745E-5</v>
      </c>
      <c r="G75" s="2"/>
      <c r="H75" s="7">
        <v>50</v>
      </c>
      <c r="I75" s="2"/>
      <c r="J75" s="6">
        <f t="shared" si="29"/>
        <v>1.9860657626095314E-4</v>
      </c>
      <c r="K75" s="2"/>
      <c r="L75" s="7">
        <f t="shared" si="30"/>
        <v>-30.18</v>
      </c>
      <c r="M75" s="2"/>
      <c r="N75" s="6">
        <f t="shared" si="31"/>
        <v>-0.60360000000000003</v>
      </c>
      <c r="O75" s="11"/>
      <c r="P75" s="7">
        <v>890.35</v>
      </c>
      <c r="Q75" s="2"/>
      <c r="R75" s="6">
        <f t="shared" si="32"/>
        <v>6.4873218778942849E-4</v>
      </c>
      <c r="S75" s="2"/>
      <c r="T75" s="7">
        <v>200</v>
      </c>
      <c r="U75" s="2"/>
      <c r="V75" s="6">
        <f t="shared" si="33"/>
        <v>1.6884305362793069E-4</v>
      </c>
      <c r="W75" s="2"/>
      <c r="X75" s="7">
        <f t="shared" si="34"/>
        <v>690.35</v>
      </c>
      <c r="Y75" s="2"/>
      <c r="Z75" s="6">
        <f t="shared" si="35"/>
        <v>3.4517500000000001</v>
      </c>
    </row>
    <row r="76" spans="1:26" s="24" customFormat="1" hidden="1" outlineLevel="2" x14ac:dyDescent="0.25">
      <c r="A76" s="27"/>
      <c r="B76" s="11" t="str">
        <f>CONCATENATE("          ", "6307", " - ", "POSTAGE")</f>
        <v xml:space="preserve">          6307 - POSTAGE</v>
      </c>
      <c r="C76" s="11"/>
      <c r="D76" s="7"/>
      <c r="E76" s="2"/>
      <c r="F76" s="6">
        <f t="shared" si="28"/>
        <v>0</v>
      </c>
      <c r="G76" s="2"/>
      <c r="H76" s="7"/>
      <c r="I76" s="2"/>
      <c r="J76" s="6">
        <f t="shared" si="29"/>
        <v>0</v>
      </c>
      <c r="K76" s="2"/>
      <c r="L76" s="7">
        <f t="shared" si="30"/>
        <v>0</v>
      </c>
      <c r="M76" s="2"/>
      <c r="N76" s="6">
        <f t="shared" si="31"/>
        <v>0</v>
      </c>
      <c r="O76" s="11"/>
      <c r="P76" s="7">
        <v>35.42</v>
      </c>
      <c r="Q76" s="2"/>
      <c r="R76" s="6">
        <f t="shared" si="32"/>
        <v>2.5807934061325948E-5</v>
      </c>
      <c r="S76" s="2"/>
      <c r="T76" s="7"/>
      <c r="U76" s="2"/>
      <c r="V76" s="6">
        <f t="shared" si="33"/>
        <v>0</v>
      </c>
      <c r="W76" s="2"/>
      <c r="X76" s="7">
        <f t="shared" si="34"/>
        <v>35.42</v>
      </c>
      <c r="Y76" s="2"/>
      <c r="Z76" s="6">
        <f t="shared" si="35"/>
        <v>0</v>
      </c>
    </row>
    <row r="77" spans="1:26" s="28" customFormat="1" outlineLevel="1" collapsed="1" x14ac:dyDescent="0.25">
      <c r="A77" s="29"/>
      <c r="B77" s="14" t="str">
        <f>CONCATENATE("     ","General                                           ")</f>
        <v xml:space="preserve">     General                                           </v>
      </c>
      <c r="C77" s="14"/>
      <c r="D77" s="1">
        <f>SUM(OSRRefD22_8x_0)</f>
        <v>0</v>
      </c>
      <c r="E77" s="1"/>
      <c r="F77" s="5">
        <f t="shared" ref="F77:F79" si="36">IF(D$12=0,0,D77/D$12)</f>
        <v>0</v>
      </c>
      <c r="G77" s="1"/>
      <c r="H77" s="1">
        <f>SUM(OSRRefH22_8x_0)</f>
        <v>0</v>
      </c>
      <c r="I77" s="1"/>
      <c r="J77" s="5">
        <f t="shared" ref="J77:J79" si="37">IF(H$12=0,0,H77/H$12)</f>
        <v>0</v>
      </c>
      <c r="K77" s="1"/>
      <c r="L77" s="1">
        <f t="shared" ref="L77:L79" si="38">+D77-H77</f>
        <v>0</v>
      </c>
      <c r="M77" s="1"/>
      <c r="N77" s="5">
        <f t="shared" ref="N77:N79" si="39">IF(H77=0,0,L77/H77)</f>
        <v>0</v>
      </c>
      <c r="O77" s="14"/>
      <c r="P77" s="1">
        <f>SUM(OSRRefP22_8x_0)</f>
        <v>0</v>
      </c>
      <c r="Q77" s="1"/>
      <c r="R77" s="5">
        <f t="shared" ref="R77:R79" si="40">IF(P$12=0,0,P77/P$12)</f>
        <v>0</v>
      </c>
      <c r="S77" s="1"/>
      <c r="T77" s="1">
        <f>SUM(OSRRefT22_8x_0)</f>
        <v>125</v>
      </c>
      <c r="U77" s="1"/>
      <c r="V77" s="5">
        <f t="shared" ref="V77:V79" si="41">IF(T$12=0,0,T77/T$12)</f>
        <v>1.0552690851745668E-4</v>
      </c>
      <c r="W77" s="1"/>
      <c r="X77" s="1">
        <f t="shared" ref="X77:X79" si="42">+P77-T77</f>
        <v>-125</v>
      </c>
      <c r="Y77" s="1"/>
      <c r="Z77" s="5">
        <f t="shared" ref="Z77:Z79" si="43">IF(T77=0,0,X77/T77)</f>
        <v>-1</v>
      </c>
    </row>
    <row r="78" spans="1:26" s="24" customFormat="1" hidden="1" outlineLevel="2" x14ac:dyDescent="0.25">
      <c r="A78" s="27"/>
      <c r="B78" s="11" t="str">
        <f>CONCATENATE("          ", "6276", " - ", "PROPERTY TAX")</f>
        <v xml:space="preserve">          6276 - PROPERTY TAX</v>
      </c>
      <c r="C78" s="11"/>
      <c r="D78" s="7"/>
      <c r="E78" s="2"/>
      <c r="F78" s="6">
        <f t="shared" si="36"/>
        <v>0</v>
      </c>
      <c r="G78" s="2"/>
      <c r="H78" s="7"/>
      <c r="I78" s="2"/>
      <c r="J78" s="6">
        <f t="shared" si="37"/>
        <v>0</v>
      </c>
      <c r="K78" s="2"/>
      <c r="L78" s="7">
        <f t="shared" si="38"/>
        <v>0</v>
      </c>
      <c r="M78" s="2"/>
      <c r="N78" s="6">
        <f t="shared" si="39"/>
        <v>0</v>
      </c>
      <c r="O78" s="11"/>
      <c r="P78" s="7"/>
      <c r="Q78" s="2"/>
      <c r="R78" s="6">
        <f t="shared" si="40"/>
        <v>0</v>
      </c>
      <c r="S78" s="2"/>
      <c r="T78" s="7">
        <v>125</v>
      </c>
      <c r="U78" s="2"/>
      <c r="V78" s="6">
        <f t="shared" si="41"/>
        <v>1.0552690851745668E-4</v>
      </c>
      <c r="W78" s="2"/>
      <c r="X78" s="7">
        <f t="shared" si="42"/>
        <v>-125</v>
      </c>
      <c r="Y78" s="2"/>
      <c r="Z78" s="6">
        <f t="shared" si="43"/>
        <v>-1</v>
      </c>
    </row>
    <row r="79" spans="1:26" s="24" customFormat="1" hidden="1" outlineLevel="2" x14ac:dyDescent="0.25">
      <c r="A79" s="27"/>
      <c r="B79" s="11" t="str">
        <f>CONCATENATE("          ", "6279", " - ", "GENERAL EXPENSE")</f>
        <v xml:space="preserve">          6279 - GENERAL EXPENSE</v>
      </c>
      <c r="C79" s="11"/>
      <c r="D79" s="7"/>
      <c r="E79" s="2"/>
      <c r="F79" s="6">
        <f t="shared" si="36"/>
        <v>0</v>
      </c>
      <c r="G79" s="2"/>
      <c r="H79" s="7">
        <v>0</v>
      </c>
      <c r="I79" s="2"/>
      <c r="J79" s="6">
        <f t="shared" si="37"/>
        <v>0</v>
      </c>
      <c r="K79" s="2"/>
      <c r="L79" s="7">
        <f t="shared" si="38"/>
        <v>0</v>
      </c>
      <c r="M79" s="2"/>
      <c r="N79" s="6">
        <f t="shared" si="39"/>
        <v>0</v>
      </c>
      <c r="O79" s="11"/>
      <c r="P79" s="7"/>
      <c r="Q79" s="2"/>
      <c r="R79" s="6">
        <f t="shared" si="40"/>
        <v>0</v>
      </c>
      <c r="S79" s="2"/>
      <c r="T79" s="7">
        <v>0</v>
      </c>
      <c r="U79" s="2"/>
      <c r="V79" s="6">
        <f t="shared" si="41"/>
        <v>0</v>
      </c>
      <c r="W79" s="2"/>
      <c r="X79" s="7">
        <f t="shared" si="42"/>
        <v>0</v>
      </c>
      <c r="Y79" s="2"/>
      <c r="Z79" s="6">
        <f t="shared" si="43"/>
        <v>0</v>
      </c>
    </row>
    <row r="80" spans="1:26" s="28" customFormat="1" outlineLevel="1" collapsed="1" x14ac:dyDescent="0.25">
      <c r="A80" s="29"/>
      <c r="B80" s="14" t="str">
        <f>CONCATENATE("     ","Insurance                                         ")</f>
        <v xml:space="preserve">     Insurance                                         </v>
      </c>
      <c r="C80" s="14"/>
      <c r="D80" s="1">
        <f>SUM(OSRRefD22_9x_0)</f>
        <v>219.08</v>
      </c>
      <c r="E80" s="1"/>
      <c r="F80" s="5">
        <f t="shared" ref="F80:F90" si="44">IF(D$12=0,0,D80/D$12)</f>
        <v>4.5829679106059351E-4</v>
      </c>
      <c r="G80" s="1"/>
      <c r="H80" s="1">
        <f>SUM(OSRRefH22_9x_0)</f>
        <v>175</v>
      </c>
      <c r="I80" s="1"/>
      <c r="J80" s="5">
        <f t="shared" ref="J80:J90" si="45">IF(H$12=0,0,H80/H$12)</f>
        <v>6.9512301691333604E-4</v>
      </c>
      <c r="K80" s="1"/>
      <c r="L80" s="1">
        <f t="shared" ref="L80:L90" si="46">+D80-H80</f>
        <v>44.080000000000013</v>
      </c>
      <c r="M80" s="1"/>
      <c r="N80" s="5">
        <f t="shared" ref="N80:N90" si="47">IF(H80=0,0,L80/H80)</f>
        <v>0.25188571428571438</v>
      </c>
      <c r="O80" s="14"/>
      <c r="P80" s="1">
        <f>SUM(OSRRefP22_9x_0)</f>
        <v>876.32</v>
      </c>
      <c r="Q80" s="1"/>
      <c r="R80" s="5">
        <f t="shared" ref="R80:R90" si="48">IF(P$12=0,0,P80/P$12)</f>
        <v>6.3850956455734488E-4</v>
      </c>
      <c r="S80" s="1"/>
      <c r="T80" s="1">
        <f>SUM(OSRRefT22_9x_0)</f>
        <v>700</v>
      </c>
      <c r="U80" s="1"/>
      <c r="V80" s="5">
        <f t="shared" ref="V80:V90" si="49">IF(T$12=0,0,T80/T$12)</f>
        <v>5.9095068769775738E-4</v>
      </c>
      <c r="W80" s="1"/>
      <c r="X80" s="1">
        <f t="shared" ref="X80:X90" si="50">+P80-T80</f>
        <v>176.32000000000005</v>
      </c>
      <c r="Y80" s="1"/>
      <c r="Z80" s="5">
        <f t="shared" ref="Z80:Z90" si="51">IF(T80=0,0,X80/T80)</f>
        <v>0.25188571428571438</v>
      </c>
    </row>
    <row r="81" spans="1:26" s="24" customFormat="1" hidden="1" outlineLevel="2" x14ac:dyDescent="0.25">
      <c r="A81" s="27"/>
      <c r="B81" s="11" t="str">
        <f>CONCATENATE("          ", "6314", " - ", "LIABILITY INSURANCE")</f>
        <v xml:space="preserve">          6314 - LIABILITY INSURANCE</v>
      </c>
      <c r="C81" s="11"/>
      <c r="D81" s="7">
        <v>219.08</v>
      </c>
      <c r="E81" s="2"/>
      <c r="F81" s="6">
        <f t="shared" si="44"/>
        <v>4.5829679106059351E-4</v>
      </c>
      <c r="G81" s="2"/>
      <c r="H81" s="7">
        <v>175</v>
      </c>
      <c r="I81" s="2"/>
      <c r="J81" s="6">
        <f t="shared" si="45"/>
        <v>6.9512301691333604E-4</v>
      </c>
      <c r="K81" s="2"/>
      <c r="L81" s="7">
        <f t="shared" si="46"/>
        <v>44.080000000000013</v>
      </c>
      <c r="M81" s="2"/>
      <c r="N81" s="6">
        <f t="shared" si="47"/>
        <v>0.25188571428571438</v>
      </c>
      <c r="O81" s="11"/>
      <c r="P81" s="7">
        <v>876.32</v>
      </c>
      <c r="Q81" s="2"/>
      <c r="R81" s="6">
        <f t="shared" si="48"/>
        <v>6.3850956455734488E-4</v>
      </c>
      <c r="S81" s="2"/>
      <c r="T81" s="7">
        <v>700</v>
      </c>
      <c r="U81" s="2"/>
      <c r="V81" s="6">
        <f t="shared" si="49"/>
        <v>5.9095068769775738E-4</v>
      </c>
      <c r="W81" s="2"/>
      <c r="X81" s="7">
        <f t="shared" si="50"/>
        <v>176.32000000000005</v>
      </c>
      <c r="Y81" s="2"/>
      <c r="Z81" s="6">
        <f t="shared" si="51"/>
        <v>0.25188571428571438</v>
      </c>
    </row>
    <row r="82" spans="1:26" s="28" customFormat="1" outlineLevel="1" collapsed="1" x14ac:dyDescent="0.25">
      <c r="A82" s="29"/>
      <c r="B82" s="14" t="str">
        <f>CONCATENATE("     ","Inventory Adjustment                              ")</f>
        <v xml:space="preserve">     Inventory Adjustment                              </v>
      </c>
      <c r="C82" s="14"/>
      <c r="D82" s="1">
        <f>SUM(OSRRefD22_10x_0)</f>
        <v>3450</v>
      </c>
      <c r="E82" s="1"/>
      <c r="F82" s="5">
        <f t="shared" si="44"/>
        <v>7.2171075824312919E-3</v>
      </c>
      <c r="G82" s="1"/>
      <c r="H82" s="1">
        <f>SUM(OSRRefH22_10x_0)</f>
        <v>3450</v>
      </c>
      <c r="I82" s="1"/>
      <c r="J82" s="5">
        <f t="shared" si="45"/>
        <v>1.3703853762005768E-2</v>
      </c>
      <c r="K82" s="1"/>
      <c r="L82" s="1">
        <f t="shared" si="46"/>
        <v>0</v>
      </c>
      <c r="M82" s="1"/>
      <c r="N82" s="5">
        <f t="shared" si="47"/>
        <v>0</v>
      </c>
      <c r="O82" s="14"/>
      <c r="P82" s="1">
        <f>SUM(OSRRefP22_10x_0)</f>
        <v>13800</v>
      </c>
      <c r="Q82" s="1"/>
      <c r="R82" s="5">
        <f t="shared" si="48"/>
        <v>1.0055039244672447E-2</v>
      </c>
      <c r="S82" s="1"/>
      <c r="T82" s="1">
        <f>SUM(OSRRefT22_10x_0)</f>
        <v>13800</v>
      </c>
      <c r="U82" s="1"/>
      <c r="V82" s="5">
        <f t="shared" si="49"/>
        <v>1.1650170700327218E-2</v>
      </c>
      <c r="W82" s="1"/>
      <c r="X82" s="1">
        <f t="shared" si="50"/>
        <v>0</v>
      </c>
      <c r="Y82" s="1"/>
      <c r="Z82" s="5">
        <f t="shared" si="51"/>
        <v>0</v>
      </c>
    </row>
    <row r="83" spans="1:26" s="24" customFormat="1" hidden="1" outlineLevel="2" x14ac:dyDescent="0.25">
      <c r="A83" s="27"/>
      <c r="B83" s="11" t="str">
        <f>CONCATENATE("          ", "6408", " - ", "INVENTORY ADJUSTMENT")</f>
        <v xml:space="preserve">          6408 - INVENTORY ADJUSTMENT</v>
      </c>
      <c r="C83" s="11"/>
      <c r="D83" s="7">
        <v>3450</v>
      </c>
      <c r="E83" s="2"/>
      <c r="F83" s="6">
        <f t="shared" si="44"/>
        <v>7.2171075824312919E-3</v>
      </c>
      <c r="G83" s="2"/>
      <c r="H83" s="7">
        <v>3450</v>
      </c>
      <c r="I83" s="2"/>
      <c r="J83" s="6">
        <f t="shared" si="45"/>
        <v>1.3703853762005768E-2</v>
      </c>
      <c r="K83" s="2"/>
      <c r="L83" s="7">
        <f t="shared" si="46"/>
        <v>0</v>
      </c>
      <c r="M83" s="2"/>
      <c r="N83" s="6">
        <f t="shared" si="47"/>
        <v>0</v>
      </c>
      <c r="O83" s="11"/>
      <c r="P83" s="7">
        <v>13800</v>
      </c>
      <c r="Q83" s="2"/>
      <c r="R83" s="6">
        <f t="shared" si="48"/>
        <v>1.0055039244672447E-2</v>
      </c>
      <c r="S83" s="2"/>
      <c r="T83" s="7">
        <v>13800</v>
      </c>
      <c r="U83" s="2"/>
      <c r="V83" s="6">
        <f t="shared" si="49"/>
        <v>1.1650170700327218E-2</v>
      </c>
      <c r="W83" s="2"/>
      <c r="X83" s="7">
        <f t="shared" si="50"/>
        <v>0</v>
      </c>
      <c r="Y83" s="2"/>
      <c r="Z83" s="6">
        <f t="shared" si="51"/>
        <v>0</v>
      </c>
    </row>
    <row r="84" spans="1:26" s="28" customFormat="1" outlineLevel="1" collapsed="1" x14ac:dyDescent="0.25">
      <c r="A84" s="29"/>
      <c r="B84" s="14" t="str">
        <f>CONCATENATE("     ","Professional Services                             ")</f>
        <v xml:space="preserve">     Professional Services                             </v>
      </c>
      <c r="C84" s="14"/>
      <c r="D84" s="1">
        <f>SUM(OSRRefD22_11x_0)</f>
        <v>669.1</v>
      </c>
      <c r="E84" s="1"/>
      <c r="F84" s="5">
        <f t="shared" si="44"/>
        <v>1.3997004879434138E-3</v>
      </c>
      <c r="G84" s="1"/>
      <c r="H84" s="1">
        <f>SUM(OSRRefH22_11x_0)</f>
        <v>250</v>
      </c>
      <c r="I84" s="1"/>
      <c r="J84" s="5">
        <f t="shared" si="45"/>
        <v>9.9303288130476574E-4</v>
      </c>
      <c r="K84" s="1"/>
      <c r="L84" s="1">
        <f t="shared" si="46"/>
        <v>419.1</v>
      </c>
      <c r="M84" s="1"/>
      <c r="N84" s="5">
        <f t="shared" si="47"/>
        <v>1.6764000000000001</v>
      </c>
      <c r="O84" s="14"/>
      <c r="P84" s="1">
        <f>SUM(OSRRefP22_11x_0)</f>
        <v>669.1</v>
      </c>
      <c r="Q84" s="1"/>
      <c r="R84" s="5">
        <f t="shared" si="48"/>
        <v>4.875236781601692E-4</v>
      </c>
      <c r="S84" s="1"/>
      <c r="T84" s="1">
        <f>SUM(OSRRefT22_11x_0)</f>
        <v>1250</v>
      </c>
      <c r="U84" s="1"/>
      <c r="V84" s="5">
        <f t="shared" si="49"/>
        <v>1.0552690851745668E-3</v>
      </c>
      <c r="W84" s="1"/>
      <c r="X84" s="1">
        <f t="shared" si="50"/>
        <v>-580.9</v>
      </c>
      <c r="Y84" s="1"/>
      <c r="Z84" s="5">
        <f t="shared" si="51"/>
        <v>-0.46471999999999997</v>
      </c>
    </row>
    <row r="85" spans="1:26" s="24" customFormat="1" hidden="1" outlineLevel="2" x14ac:dyDescent="0.25">
      <c r="A85" s="27"/>
      <c r="B85" s="11" t="str">
        <f>CONCATENATE("          ", "6336", " - ", "PROFESSIONAL SERVICES")</f>
        <v xml:space="preserve">          6336 - PROFESSIONAL SERVICES</v>
      </c>
      <c r="C85" s="11"/>
      <c r="D85" s="7">
        <v>669.1</v>
      </c>
      <c r="E85" s="2"/>
      <c r="F85" s="6">
        <f t="shared" si="44"/>
        <v>1.3997004879434138E-3</v>
      </c>
      <c r="G85" s="2"/>
      <c r="H85" s="7">
        <v>250</v>
      </c>
      <c r="I85" s="2"/>
      <c r="J85" s="6">
        <f t="shared" si="45"/>
        <v>9.9303288130476574E-4</v>
      </c>
      <c r="K85" s="2"/>
      <c r="L85" s="7">
        <f t="shared" si="46"/>
        <v>419.1</v>
      </c>
      <c r="M85" s="2"/>
      <c r="N85" s="6">
        <f t="shared" si="47"/>
        <v>1.6764000000000001</v>
      </c>
      <c r="O85" s="11"/>
      <c r="P85" s="7">
        <v>669.1</v>
      </c>
      <c r="Q85" s="2"/>
      <c r="R85" s="6">
        <f t="shared" si="48"/>
        <v>4.875236781601692E-4</v>
      </c>
      <c r="S85" s="2"/>
      <c r="T85" s="7">
        <v>1250</v>
      </c>
      <c r="U85" s="2"/>
      <c r="V85" s="6">
        <f t="shared" si="49"/>
        <v>1.0552690851745668E-3</v>
      </c>
      <c r="W85" s="2"/>
      <c r="X85" s="7">
        <f t="shared" si="50"/>
        <v>-580.9</v>
      </c>
      <c r="Y85" s="2"/>
      <c r="Z85" s="6">
        <f t="shared" si="51"/>
        <v>-0.46471999999999997</v>
      </c>
    </row>
    <row r="86" spans="1:26" s="28" customFormat="1" outlineLevel="1" collapsed="1" x14ac:dyDescent="0.25">
      <c r="A86" s="29"/>
      <c r="B86" s="14" t="str">
        <f>CONCATENATE("     ","Rent                                              ")</f>
        <v xml:space="preserve">     Rent                                              </v>
      </c>
      <c r="C86" s="14"/>
      <c r="D86" s="1">
        <f>SUM(OSRRefD22_12x_0)</f>
        <v>6900</v>
      </c>
      <c r="E86" s="1"/>
      <c r="F86" s="5">
        <f t="shared" si="44"/>
        <v>1.4434215164862584E-2</v>
      </c>
      <c r="G86" s="1"/>
      <c r="H86" s="1">
        <f>SUM(OSRRefH22_12x_0)</f>
        <v>6900</v>
      </c>
      <c r="I86" s="1"/>
      <c r="J86" s="5">
        <f t="shared" si="45"/>
        <v>2.7407707524011535E-2</v>
      </c>
      <c r="K86" s="1"/>
      <c r="L86" s="1">
        <f t="shared" si="46"/>
        <v>0</v>
      </c>
      <c r="M86" s="1"/>
      <c r="N86" s="5">
        <f t="shared" si="47"/>
        <v>0</v>
      </c>
      <c r="O86" s="14"/>
      <c r="P86" s="1">
        <f>SUM(OSRRefP22_12x_0)</f>
        <v>27600</v>
      </c>
      <c r="Q86" s="1"/>
      <c r="R86" s="5">
        <f t="shared" si="48"/>
        <v>2.0110078489344894E-2</v>
      </c>
      <c r="S86" s="1"/>
      <c r="T86" s="1">
        <f>SUM(OSRRefT22_12x_0)</f>
        <v>27600</v>
      </c>
      <c r="U86" s="1"/>
      <c r="V86" s="5">
        <f t="shared" si="49"/>
        <v>2.3300341400654435E-2</v>
      </c>
      <c r="W86" s="1"/>
      <c r="X86" s="1">
        <f t="shared" si="50"/>
        <v>0</v>
      </c>
      <c r="Y86" s="1"/>
      <c r="Z86" s="5">
        <f t="shared" si="51"/>
        <v>0</v>
      </c>
    </row>
    <row r="87" spans="1:26" s="24" customFormat="1" hidden="1" outlineLevel="2" x14ac:dyDescent="0.25">
      <c r="A87" s="27"/>
      <c r="B87" s="11" t="str">
        <f>CONCATENATE("          ", "6273", " - ", "RENT")</f>
        <v xml:space="preserve">          6273 - RENT</v>
      </c>
      <c r="C87" s="11"/>
      <c r="D87" s="7">
        <v>6900</v>
      </c>
      <c r="E87" s="2"/>
      <c r="F87" s="6">
        <f t="shared" si="44"/>
        <v>1.4434215164862584E-2</v>
      </c>
      <c r="G87" s="2"/>
      <c r="H87" s="7">
        <v>6900</v>
      </c>
      <c r="I87" s="2"/>
      <c r="J87" s="6">
        <f t="shared" si="45"/>
        <v>2.7407707524011535E-2</v>
      </c>
      <c r="K87" s="2"/>
      <c r="L87" s="7">
        <f t="shared" si="46"/>
        <v>0</v>
      </c>
      <c r="M87" s="2"/>
      <c r="N87" s="6">
        <f t="shared" si="47"/>
        <v>0</v>
      </c>
      <c r="O87" s="11"/>
      <c r="P87" s="7">
        <v>27600</v>
      </c>
      <c r="Q87" s="2"/>
      <c r="R87" s="6">
        <f t="shared" si="48"/>
        <v>2.0110078489344894E-2</v>
      </c>
      <c r="S87" s="2"/>
      <c r="T87" s="7">
        <v>27600</v>
      </c>
      <c r="U87" s="2"/>
      <c r="V87" s="6">
        <f t="shared" si="49"/>
        <v>2.3300341400654435E-2</v>
      </c>
      <c r="W87" s="2"/>
      <c r="X87" s="7">
        <f t="shared" si="50"/>
        <v>0</v>
      </c>
      <c r="Y87" s="2"/>
      <c r="Z87" s="6">
        <f t="shared" si="51"/>
        <v>0</v>
      </c>
    </row>
    <row r="88" spans="1:26" s="28" customFormat="1" outlineLevel="1" collapsed="1" x14ac:dyDescent="0.25">
      <c r="A88" s="29"/>
      <c r="B88" s="14" t="str">
        <f>CONCATENATE("     ","Repair and Maintenance                            ")</f>
        <v xml:space="preserve">     Repair and Maintenance                            </v>
      </c>
      <c r="C88" s="14"/>
      <c r="D88" s="1">
        <f>SUM(OSRRefD22_13x_0)</f>
        <v>0</v>
      </c>
      <c r="E88" s="1"/>
      <c r="F88" s="5">
        <f t="shared" si="44"/>
        <v>0</v>
      </c>
      <c r="G88" s="1"/>
      <c r="H88" s="1">
        <f>SUM(OSRRefH22_13x_0)</f>
        <v>115</v>
      </c>
      <c r="I88" s="1"/>
      <c r="J88" s="5">
        <f t="shared" si="45"/>
        <v>4.5679512540019226E-4</v>
      </c>
      <c r="K88" s="1"/>
      <c r="L88" s="1">
        <f t="shared" si="46"/>
        <v>-115</v>
      </c>
      <c r="M88" s="1"/>
      <c r="N88" s="5">
        <f t="shared" si="47"/>
        <v>-1</v>
      </c>
      <c r="O88" s="14"/>
      <c r="P88" s="1">
        <f>SUM(OSRRefP22_13x_0)</f>
        <v>1012.96</v>
      </c>
      <c r="Q88" s="1"/>
      <c r="R88" s="5">
        <f t="shared" si="48"/>
        <v>7.3806902560024658E-4</v>
      </c>
      <c r="S88" s="1"/>
      <c r="T88" s="1">
        <f>SUM(OSRRefT22_13x_0)</f>
        <v>460</v>
      </c>
      <c r="U88" s="1"/>
      <c r="V88" s="5">
        <f t="shared" si="49"/>
        <v>3.8833902334424057E-4</v>
      </c>
      <c r="W88" s="1"/>
      <c r="X88" s="1">
        <f t="shared" si="50"/>
        <v>552.96</v>
      </c>
      <c r="Y88" s="1"/>
      <c r="Z88" s="5">
        <f t="shared" si="51"/>
        <v>1.2020869565217391</v>
      </c>
    </row>
    <row r="89" spans="1:26" s="24" customFormat="1" hidden="1" outlineLevel="2" x14ac:dyDescent="0.25">
      <c r="A89" s="27"/>
      <c r="B89" s="11" t="str">
        <f>CONCATENATE("          ", "6373", " - ", "MAINTENANCE CONTRACTS")</f>
        <v xml:space="preserve">          6373 - MAINTENANCE CONTRACTS</v>
      </c>
      <c r="C89" s="11"/>
      <c r="D89" s="7"/>
      <c r="E89" s="2"/>
      <c r="F89" s="6">
        <f t="shared" si="44"/>
        <v>0</v>
      </c>
      <c r="G89" s="2"/>
      <c r="H89" s="7">
        <v>115</v>
      </c>
      <c r="I89" s="2"/>
      <c r="J89" s="6">
        <f t="shared" si="45"/>
        <v>4.5679512540019226E-4</v>
      </c>
      <c r="K89" s="2"/>
      <c r="L89" s="7">
        <f t="shared" si="46"/>
        <v>-115</v>
      </c>
      <c r="M89" s="2"/>
      <c r="N89" s="6">
        <f t="shared" si="47"/>
        <v>-1</v>
      </c>
      <c r="O89" s="11"/>
      <c r="P89" s="7">
        <v>236.6</v>
      </c>
      <c r="Q89" s="2"/>
      <c r="R89" s="6">
        <f t="shared" si="48"/>
        <v>1.7239291922387689E-4</v>
      </c>
      <c r="S89" s="2"/>
      <c r="T89" s="7">
        <v>460</v>
      </c>
      <c r="U89" s="2"/>
      <c r="V89" s="6">
        <f t="shared" si="49"/>
        <v>3.8833902334424057E-4</v>
      </c>
      <c r="W89" s="2"/>
      <c r="X89" s="7">
        <f t="shared" si="50"/>
        <v>-223.4</v>
      </c>
      <c r="Y89" s="2"/>
      <c r="Z89" s="6">
        <f t="shared" si="51"/>
        <v>-0.48565217391304349</v>
      </c>
    </row>
    <row r="90" spans="1:26" s="24" customFormat="1" hidden="1" outlineLevel="2" x14ac:dyDescent="0.25">
      <c r="A90" s="27"/>
      <c r="B90" s="11" t="str">
        <f>CONCATENATE("          ", "6375", " - ", "OUTSIDE REPAIRS &amp; MAINTENANCE")</f>
        <v xml:space="preserve">          6375 - OUTSIDE REPAIRS &amp; MAINTENANCE</v>
      </c>
      <c r="C90" s="11"/>
      <c r="D90" s="7"/>
      <c r="E90" s="2"/>
      <c r="F90" s="6">
        <f t="shared" si="44"/>
        <v>0</v>
      </c>
      <c r="G90" s="2"/>
      <c r="H90" s="7">
        <v>0</v>
      </c>
      <c r="I90" s="2"/>
      <c r="J90" s="6">
        <f t="shared" si="45"/>
        <v>0</v>
      </c>
      <c r="K90" s="2"/>
      <c r="L90" s="7">
        <f t="shared" si="46"/>
        <v>0</v>
      </c>
      <c r="M90" s="2"/>
      <c r="N90" s="6">
        <f t="shared" si="47"/>
        <v>0</v>
      </c>
      <c r="O90" s="11"/>
      <c r="P90" s="7">
        <v>776.36</v>
      </c>
      <c r="Q90" s="2"/>
      <c r="R90" s="6">
        <f t="shared" si="48"/>
        <v>5.6567610637636972E-4</v>
      </c>
      <c r="S90" s="2"/>
      <c r="T90" s="7">
        <v>0</v>
      </c>
      <c r="U90" s="2"/>
      <c r="V90" s="6">
        <f t="shared" si="49"/>
        <v>0</v>
      </c>
      <c r="W90" s="2"/>
      <c r="X90" s="7">
        <f t="shared" si="50"/>
        <v>776.36</v>
      </c>
      <c r="Y90" s="2"/>
      <c r="Z90" s="6">
        <f t="shared" si="51"/>
        <v>0</v>
      </c>
    </row>
    <row r="91" spans="1:26" s="28" customFormat="1" outlineLevel="1" collapsed="1" x14ac:dyDescent="0.25">
      <c r="A91" s="29"/>
      <c r="B91" s="14" t="str">
        <f>CONCATENATE("     ","Royalty &amp; Commissions                             ")</f>
        <v xml:space="preserve">     Royalty &amp; Commissions                             </v>
      </c>
      <c r="C91" s="14"/>
      <c r="D91" s="1">
        <f>SUM(OSRRefD22_14x_0)</f>
        <v>8783.75</v>
      </c>
      <c r="E91" s="1"/>
      <c r="F91" s="5">
        <f t="shared" ref="F91:F94" si="52">IF(D$12=0,0,D91/D$12)</f>
        <v>1.8374860500632133E-2</v>
      </c>
      <c r="G91" s="1"/>
      <c r="H91" s="1">
        <f>SUM(OSRRefH22_14x_0)</f>
        <v>11612</v>
      </c>
      <c r="I91" s="1"/>
      <c r="J91" s="5">
        <f t="shared" ref="J91:J94" si="53">IF(H$12=0,0,H91/H$12)</f>
        <v>4.6124391270843758E-2</v>
      </c>
      <c r="K91" s="1"/>
      <c r="L91" s="1">
        <f t="shared" ref="L91:L94" si="54">+D91-H91</f>
        <v>-2828.25</v>
      </c>
      <c r="M91" s="1"/>
      <c r="N91" s="5">
        <f t="shared" ref="N91:N94" si="55">IF(H91=0,0,L91/H91)</f>
        <v>-0.24356269376507061</v>
      </c>
      <c r="O91" s="14"/>
      <c r="P91" s="1">
        <f>SUM(OSRRefP22_14x_0)</f>
        <v>16132.79</v>
      </c>
      <c r="Q91" s="1"/>
      <c r="R91" s="5">
        <f t="shared" ref="R91:R94" si="56">IF(P$12=0,0,P91/P$12)</f>
        <v>1.1754770766381102E-2</v>
      </c>
      <c r="S91" s="1"/>
      <c r="T91" s="1">
        <f>SUM(OSRRefT22_14x_0)</f>
        <v>21472</v>
      </c>
      <c r="U91" s="1"/>
      <c r="V91" s="5">
        <f t="shared" ref="V91:V94" si="57">IF(T$12=0,0,T91/T$12)</f>
        <v>1.8126990237494638E-2</v>
      </c>
      <c r="W91" s="1"/>
      <c r="X91" s="1">
        <f t="shared" ref="X91:X94" si="58">+P91-T91</f>
        <v>-5339.2099999999991</v>
      </c>
      <c r="Y91" s="1"/>
      <c r="Z91" s="5">
        <f t="shared" ref="Z91:Z94" si="59">IF(T91=0,0,X91/T91)</f>
        <v>-0.24865918405365123</v>
      </c>
    </row>
    <row r="92" spans="1:26" s="24" customFormat="1" hidden="1" outlineLevel="2" x14ac:dyDescent="0.25">
      <c r="A92" s="27"/>
      <c r="B92" s="11" t="str">
        <f>CONCATENATE("          ", "6252", " - ", "ROYALTY DUE CSTV")</f>
        <v xml:space="preserve">          6252 - ROYALTY DUE CSTV</v>
      </c>
      <c r="C92" s="11"/>
      <c r="D92" s="7"/>
      <c r="E92" s="2"/>
      <c r="F92" s="6">
        <f t="shared" si="52"/>
        <v>0</v>
      </c>
      <c r="G92" s="2"/>
      <c r="H92" s="7">
        <v>1122</v>
      </c>
      <c r="I92" s="2"/>
      <c r="J92" s="6">
        <f t="shared" si="53"/>
        <v>4.4567315712957887E-3</v>
      </c>
      <c r="K92" s="2"/>
      <c r="L92" s="7">
        <f t="shared" si="54"/>
        <v>-1122</v>
      </c>
      <c r="M92" s="2"/>
      <c r="N92" s="6">
        <f t="shared" si="55"/>
        <v>-1</v>
      </c>
      <c r="O92" s="11"/>
      <c r="P92" s="7"/>
      <c r="Q92" s="2"/>
      <c r="R92" s="6">
        <f t="shared" si="56"/>
        <v>0</v>
      </c>
      <c r="S92" s="2"/>
      <c r="T92" s="7">
        <v>5310</v>
      </c>
      <c r="U92" s="2"/>
      <c r="V92" s="6">
        <f t="shared" si="57"/>
        <v>4.4827830738215597E-3</v>
      </c>
      <c r="W92" s="2"/>
      <c r="X92" s="7">
        <f t="shared" si="58"/>
        <v>-5310</v>
      </c>
      <c r="Y92" s="2"/>
      <c r="Z92" s="6">
        <f t="shared" si="59"/>
        <v>-1</v>
      </c>
    </row>
    <row r="93" spans="1:26" s="24" customFormat="1" hidden="1" outlineLevel="2" x14ac:dyDescent="0.25">
      <c r="A93" s="27"/>
      <c r="B93" s="11" t="str">
        <f>CONCATENATE("          ", "6253", " - ", "ROYALTY DUE ATHLETICS-LRG")</f>
        <v xml:space="preserve">          6253 - ROYALTY DUE ATHLETICS-LRG</v>
      </c>
      <c r="C93" s="11"/>
      <c r="D93" s="7">
        <v>8783.75</v>
      </c>
      <c r="E93" s="2"/>
      <c r="F93" s="6">
        <f t="shared" si="52"/>
        <v>1.8374860500632133E-2</v>
      </c>
      <c r="G93" s="2"/>
      <c r="H93" s="7">
        <v>10490</v>
      </c>
      <c r="I93" s="2"/>
      <c r="J93" s="6">
        <f t="shared" si="53"/>
        <v>4.1667659699547971E-2</v>
      </c>
      <c r="K93" s="2"/>
      <c r="L93" s="7">
        <f t="shared" si="54"/>
        <v>-1706.25</v>
      </c>
      <c r="M93" s="2"/>
      <c r="N93" s="6">
        <f t="shared" si="55"/>
        <v>-0.16265490943755959</v>
      </c>
      <c r="O93" s="11"/>
      <c r="P93" s="7">
        <v>23160.29</v>
      </c>
      <c r="Q93" s="2"/>
      <c r="R93" s="6">
        <f t="shared" si="56"/>
        <v>1.6875190207825713E-2</v>
      </c>
      <c r="S93" s="2"/>
      <c r="T93" s="7">
        <v>16162</v>
      </c>
      <c r="U93" s="2"/>
      <c r="V93" s="6">
        <f t="shared" si="57"/>
        <v>1.3644207163673079E-2</v>
      </c>
      <c r="W93" s="2"/>
      <c r="X93" s="7">
        <f t="shared" si="58"/>
        <v>6998.2900000000009</v>
      </c>
      <c r="Y93" s="2"/>
      <c r="Z93" s="6">
        <f t="shared" si="59"/>
        <v>0.43300890978839257</v>
      </c>
    </row>
    <row r="94" spans="1:26" s="24" customFormat="1" hidden="1" outlineLevel="2" x14ac:dyDescent="0.25">
      <c r="A94" s="27"/>
      <c r="B94" s="11" t="str">
        <f>CONCATENATE("          ", "6254", " - ", "ROYALTY &amp; COMMISSIONS")</f>
        <v xml:space="preserve">          6254 - ROYALTY &amp; COMMISSIONS</v>
      </c>
      <c r="C94" s="11"/>
      <c r="D94" s="7"/>
      <c r="E94" s="2"/>
      <c r="F94" s="6">
        <f t="shared" si="52"/>
        <v>0</v>
      </c>
      <c r="G94" s="2"/>
      <c r="H94" s="7">
        <v>0</v>
      </c>
      <c r="I94" s="2"/>
      <c r="J94" s="6">
        <f t="shared" si="53"/>
        <v>0</v>
      </c>
      <c r="K94" s="2"/>
      <c r="L94" s="7">
        <f t="shared" si="54"/>
        <v>0</v>
      </c>
      <c r="M94" s="2"/>
      <c r="N94" s="6">
        <f t="shared" si="55"/>
        <v>0</v>
      </c>
      <c r="O94" s="11"/>
      <c r="P94" s="7">
        <v>-7027.5</v>
      </c>
      <c r="Q94" s="2"/>
      <c r="R94" s="6">
        <f t="shared" si="56"/>
        <v>-5.1204194414446102E-3</v>
      </c>
      <c r="S94" s="2"/>
      <c r="T94" s="7">
        <v>0</v>
      </c>
      <c r="U94" s="2"/>
      <c r="V94" s="6">
        <f t="shared" si="57"/>
        <v>0</v>
      </c>
      <c r="W94" s="2"/>
      <c r="X94" s="7">
        <f t="shared" si="58"/>
        <v>-7027.5</v>
      </c>
      <c r="Y94" s="2"/>
      <c r="Z94" s="6">
        <f t="shared" si="59"/>
        <v>0</v>
      </c>
    </row>
    <row r="95" spans="1:26" s="28" customFormat="1" outlineLevel="1" collapsed="1" x14ac:dyDescent="0.25">
      <c r="A95" s="29"/>
      <c r="B95" s="14" t="str">
        <f>CONCATENATE("     ","Services                                          ")</f>
        <v xml:space="preserve">     Services                                          </v>
      </c>
      <c r="C95" s="14"/>
      <c r="D95" s="1">
        <f>SUM(OSRRefD22_15x_0)</f>
        <v>162.72</v>
      </c>
      <c r="E95" s="1"/>
      <c r="F95" s="5">
        <f t="shared" ref="F95:F97" si="60">IF(D$12=0,0,D95/D$12)</f>
        <v>3.4039644806180285E-4</v>
      </c>
      <c r="G95" s="1"/>
      <c r="H95" s="1">
        <f>SUM(OSRRefH22_15x_0)</f>
        <v>60</v>
      </c>
      <c r="I95" s="1"/>
      <c r="J95" s="5">
        <f t="shared" ref="J95:J97" si="61">IF(H$12=0,0,H95/H$12)</f>
        <v>2.3832789151314378E-4</v>
      </c>
      <c r="K95" s="1"/>
      <c r="L95" s="1">
        <f t="shared" ref="L95:L97" si="62">+D95-H95</f>
        <v>102.72</v>
      </c>
      <c r="M95" s="1"/>
      <c r="N95" s="5">
        <f t="shared" ref="N95:N97" si="63">IF(H95=0,0,L95/H95)</f>
        <v>1.712</v>
      </c>
      <c r="O95" s="14"/>
      <c r="P95" s="1">
        <f>SUM(OSRRefP22_15x_0)</f>
        <v>643.75</v>
      </c>
      <c r="Q95" s="1"/>
      <c r="R95" s="5">
        <f t="shared" ref="R95:R97" si="64">IF(P$12=0,0,P95/P$12)</f>
        <v>4.6905300824332522E-4</v>
      </c>
      <c r="S95" s="1"/>
      <c r="T95" s="1">
        <f>SUM(OSRRefT22_15x_0)</f>
        <v>300</v>
      </c>
      <c r="U95" s="1"/>
      <c r="V95" s="5">
        <f t="shared" ref="V95:V97" si="65">IF(T$12=0,0,T95/T$12)</f>
        <v>2.5326458044189605E-4</v>
      </c>
      <c r="W95" s="1"/>
      <c r="X95" s="1">
        <f t="shared" ref="X95:X97" si="66">+P95-T95</f>
        <v>343.75</v>
      </c>
      <c r="Y95" s="1"/>
      <c r="Z95" s="5">
        <f t="shared" ref="Z95:Z97" si="67">IF(T95=0,0,X95/T95)</f>
        <v>1.1458333333333333</v>
      </c>
    </row>
    <row r="96" spans="1:26" s="24" customFormat="1" hidden="1" outlineLevel="2" x14ac:dyDescent="0.25">
      <c r="A96" s="27"/>
      <c r="B96" s="11" t="str">
        <f>CONCATENATE("          ", "6284", " - ", "TRASH REMOVAL EXPENSE")</f>
        <v xml:space="preserve">          6284 - TRASH REMOVAL EXPENSE</v>
      </c>
      <c r="C96" s="11"/>
      <c r="D96" s="7">
        <v>149.69999999999999</v>
      </c>
      <c r="E96" s="2"/>
      <c r="F96" s="6">
        <f t="shared" si="60"/>
        <v>3.131597116202795E-4</v>
      </c>
      <c r="G96" s="2"/>
      <c r="H96" s="7">
        <v>60</v>
      </c>
      <c r="I96" s="2"/>
      <c r="J96" s="6">
        <f t="shared" si="61"/>
        <v>2.3832789151314378E-4</v>
      </c>
      <c r="K96" s="2"/>
      <c r="L96" s="7">
        <f t="shared" si="62"/>
        <v>89.699999999999989</v>
      </c>
      <c r="M96" s="2"/>
      <c r="N96" s="6">
        <f t="shared" si="63"/>
        <v>1.4949999999999999</v>
      </c>
      <c r="O96" s="11"/>
      <c r="P96" s="7">
        <v>591.66999999999996</v>
      </c>
      <c r="Q96" s="2"/>
      <c r="R96" s="6">
        <f t="shared" si="64"/>
        <v>4.3110616448517006E-4</v>
      </c>
      <c r="S96" s="2"/>
      <c r="T96" s="7">
        <v>300</v>
      </c>
      <c r="U96" s="2"/>
      <c r="V96" s="6">
        <f t="shared" si="65"/>
        <v>2.5326458044189605E-4</v>
      </c>
      <c r="W96" s="2"/>
      <c r="X96" s="7">
        <f t="shared" si="66"/>
        <v>291.66999999999996</v>
      </c>
      <c r="Y96" s="2"/>
      <c r="Z96" s="6">
        <f t="shared" si="67"/>
        <v>0.97223333333333317</v>
      </c>
    </row>
    <row r="97" spans="1:26" s="24" customFormat="1" hidden="1" outlineLevel="2" x14ac:dyDescent="0.25">
      <c r="A97" s="27"/>
      <c r="B97" s="11" t="str">
        <f>CONCATENATE("          ", "6285", " - ", "JANITORIAL SERVICES")</f>
        <v xml:space="preserve">          6285 - JANITORIAL SERVICES</v>
      </c>
      <c r="C97" s="11"/>
      <c r="D97" s="7">
        <v>13.02</v>
      </c>
      <c r="E97" s="2"/>
      <c r="F97" s="6">
        <f t="shared" si="60"/>
        <v>2.7236736441523311E-5</v>
      </c>
      <c r="G97" s="2"/>
      <c r="H97" s="7"/>
      <c r="I97" s="2"/>
      <c r="J97" s="6">
        <f t="shared" si="61"/>
        <v>0</v>
      </c>
      <c r="K97" s="2"/>
      <c r="L97" s="7">
        <f t="shared" si="62"/>
        <v>13.02</v>
      </c>
      <c r="M97" s="2"/>
      <c r="N97" s="6">
        <f t="shared" si="63"/>
        <v>0</v>
      </c>
      <c r="O97" s="11"/>
      <c r="P97" s="7">
        <v>52.08</v>
      </c>
      <c r="Q97" s="2"/>
      <c r="R97" s="6">
        <f t="shared" si="64"/>
        <v>3.7946843758155147E-5</v>
      </c>
      <c r="S97" s="2"/>
      <c r="T97" s="7"/>
      <c r="U97" s="2"/>
      <c r="V97" s="6">
        <f t="shared" si="65"/>
        <v>0</v>
      </c>
      <c r="W97" s="2"/>
      <c r="X97" s="7">
        <f t="shared" si="66"/>
        <v>52.08</v>
      </c>
      <c r="Y97" s="2"/>
      <c r="Z97" s="6">
        <f t="shared" si="67"/>
        <v>0</v>
      </c>
    </row>
    <row r="98" spans="1:26" s="28" customFormat="1" outlineLevel="1" collapsed="1" x14ac:dyDescent="0.25">
      <c r="A98" s="29"/>
      <c r="B98" s="14" t="str">
        <f>CONCATENATE("     ","Subscriptions &amp; Dues                              ")</f>
        <v xml:space="preserve">     Subscriptions &amp; Dues                              </v>
      </c>
      <c r="C98" s="14"/>
      <c r="D98" s="1">
        <f>SUM(OSRRefD22_16x_0)</f>
        <v>0</v>
      </c>
      <c r="E98" s="1"/>
      <c r="F98" s="5">
        <f t="shared" ref="F98:F100" si="68">IF(D$12=0,0,D98/D$12)</f>
        <v>0</v>
      </c>
      <c r="G98" s="1"/>
      <c r="H98" s="1">
        <f>SUM(OSRRefH22_16x_0)</f>
        <v>61</v>
      </c>
      <c r="I98" s="1"/>
      <c r="J98" s="5">
        <f t="shared" ref="J98:J100" si="69">IF(H$12=0,0,H98/H$12)</f>
        <v>2.4230002303836284E-4</v>
      </c>
      <c r="K98" s="1"/>
      <c r="L98" s="1">
        <f t="shared" ref="L98:L100" si="70">+D98-H98</f>
        <v>-61</v>
      </c>
      <c r="M98" s="1"/>
      <c r="N98" s="5">
        <f t="shared" ref="N98:N100" si="71">IF(H98=0,0,L98/H98)</f>
        <v>-1</v>
      </c>
      <c r="O98" s="14"/>
      <c r="P98" s="1">
        <f>SUM(OSRRefP22_16x_0)</f>
        <v>0</v>
      </c>
      <c r="Q98" s="1"/>
      <c r="R98" s="5">
        <f t="shared" ref="R98:R100" si="72">IF(P$12=0,0,P98/P$12)</f>
        <v>0</v>
      </c>
      <c r="S98" s="1"/>
      <c r="T98" s="1">
        <f>SUM(OSRRefT22_16x_0)</f>
        <v>1679</v>
      </c>
      <c r="U98" s="1"/>
      <c r="V98" s="5">
        <f t="shared" ref="V98:V100" si="73">IF(T$12=0,0,T98/T$12)</f>
        <v>1.4174374352064782E-3</v>
      </c>
      <c r="W98" s="1"/>
      <c r="X98" s="1">
        <f t="shared" ref="X98:X100" si="74">+P98-T98</f>
        <v>-1679</v>
      </c>
      <c r="Y98" s="1"/>
      <c r="Z98" s="5">
        <f t="shared" ref="Z98:Z100" si="75">IF(T98=0,0,X98/T98)</f>
        <v>-1</v>
      </c>
    </row>
    <row r="99" spans="1:26" s="24" customFormat="1" hidden="1" outlineLevel="2" x14ac:dyDescent="0.25">
      <c r="A99" s="27"/>
      <c r="B99" s="11" t="str">
        <f>CONCATENATE("          ", "6258", " - ", "MEMBERSHIP DUES")</f>
        <v xml:space="preserve">          6258 - MEMBERSHIP DUES</v>
      </c>
      <c r="C99" s="11"/>
      <c r="D99" s="7"/>
      <c r="E99" s="2"/>
      <c r="F99" s="6">
        <f t="shared" si="68"/>
        <v>0</v>
      </c>
      <c r="G99" s="2"/>
      <c r="H99" s="7">
        <v>0</v>
      </c>
      <c r="I99" s="2"/>
      <c r="J99" s="6">
        <f t="shared" si="69"/>
        <v>0</v>
      </c>
      <c r="K99" s="2"/>
      <c r="L99" s="7">
        <f t="shared" si="70"/>
        <v>0</v>
      </c>
      <c r="M99" s="2"/>
      <c r="N99" s="6">
        <f t="shared" si="71"/>
        <v>0</v>
      </c>
      <c r="O99" s="11"/>
      <c r="P99" s="7"/>
      <c r="Q99" s="2"/>
      <c r="R99" s="6">
        <f t="shared" si="72"/>
        <v>0</v>
      </c>
      <c r="S99" s="2"/>
      <c r="T99" s="7">
        <v>1395</v>
      </c>
      <c r="U99" s="2"/>
      <c r="V99" s="6">
        <f t="shared" si="73"/>
        <v>1.1776802990548167E-3</v>
      </c>
      <c r="W99" s="2"/>
      <c r="X99" s="7">
        <f t="shared" si="74"/>
        <v>-1395</v>
      </c>
      <c r="Y99" s="2"/>
      <c r="Z99" s="6">
        <f t="shared" si="75"/>
        <v>-1</v>
      </c>
    </row>
    <row r="100" spans="1:26" s="24" customFormat="1" hidden="1" outlineLevel="2" x14ac:dyDescent="0.25">
      <c r="A100" s="27"/>
      <c r="B100" s="11" t="str">
        <f>CONCATENATE("          ", "6275", " - ", "SUBSCRIPTIONS")</f>
        <v xml:space="preserve">          6275 - SUBSCRIPTIONS</v>
      </c>
      <c r="C100" s="11"/>
      <c r="D100" s="7"/>
      <c r="E100" s="2"/>
      <c r="F100" s="6">
        <f t="shared" si="68"/>
        <v>0</v>
      </c>
      <c r="G100" s="2"/>
      <c r="H100" s="7">
        <v>61</v>
      </c>
      <c r="I100" s="2"/>
      <c r="J100" s="6">
        <f t="shared" si="69"/>
        <v>2.4230002303836284E-4</v>
      </c>
      <c r="K100" s="2"/>
      <c r="L100" s="7">
        <f t="shared" si="70"/>
        <v>-61</v>
      </c>
      <c r="M100" s="2"/>
      <c r="N100" s="6">
        <f t="shared" si="71"/>
        <v>-1</v>
      </c>
      <c r="O100" s="11"/>
      <c r="P100" s="7"/>
      <c r="Q100" s="2"/>
      <c r="R100" s="6">
        <f t="shared" si="72"/>
        <v>0</v>
      </c>
      <c r="S100" s="2"/>
      <c r="T100" s="7">
        <v>284</v>
      </c>
      <c r="U100" s="2"/>
      <c r="V100" s="6">
        <f t="shared" si="73"/>
        <v>2.3975713615166159E-4</v>
      </c>
      <c r="W100" s="2"/>
      <c r="X100" s="7">
        <f t="shared" si="74"/>
        <v>-284</v>
      </c>
      <c r="Y100" s="2"/>
      <c r="Z100" s="6">
        <f t="shared" si="75"/>
        <v>-1</v>
      </c>
    </row>
    <row r="101" spans="1:26" s="28" customFormat="1" outlineLevel="1" collapsed="1" x14ac:dyDescent="0.25">
      <c r="A101" s="29"/>
      <c r="B101" s="14" t="str">
        <f>CONCATENATE("     ","Supplies                                          ")</f>
        <v xml:space="preserve">     Supplies                                          </v>
      </c>
      <c r="C101" s="14"/>
      <c r="D101" s="1">
        <f>SUM(OSRRefD22_17x_0)</f>
        <v>1228.48</v>
      </c>
      <c r="E101" s="1"/>
      <c r="F101" s="5">
        <f t="shared" ref="F101:F105" si="76">IF(D$12=0,0,D101/D$12)</f>
        <v>2.5698760356130997E-3</v>
      </c>
      <c r="G101" s="1"/>
      <c r="H101" s="1">
        <f>SUM(OSRRefH22_17x_0)</f>
        <v>105</v>
      </c>
      <c r="I101" s="1"/>
      <c r="J101" s="5">
        <f t="shared" ref="J101:J105" si="77">IF(H$12=0,0,H101/H$12)</f>
        <v>4.1707381014800165E-4</v>
      </c>
      <c r="K101" s="1"/>
      <c r="L101" s="1">
        <f t="shared" ref="L101:L105" si="78">+D101-H101</f>
        <v>1123.48</v>
      </c>
      <c r="M101" s="1"/>
      <c r="N101" s="5">
        <f t="shared" ref="N101:N105" si="79">IF(H101=0,0,L101/H101)</f>
        <v>10.699809523809524</v>
      </c>
      <c r="O101" s="14"/>
      <c r="P101" s="1">
        <f>SUM(OSRRefP22_17x_0)</f>
        <v>7472.76</v>
      </c>
      <c r="Q101" s="1"/>
      <c r="R101" s="5">
        <f t="shared" ref="R101:R105" si="80">IF(P$12=0,0,P101/P$12)</f>
        <v>5.4448474685520635E-3</v>
      </c>
      <c r="S101" s="1"/>
      <c r="T101" s="1">
        <f>SUM(OSRRefT22_17x_0)</f>
        <v>460</v>
      </c>
      <c r="U101" s="1"/>
      <c r="V101" s="5">
        <f t="shared" ref="V101:V105" si="81">IF(T$12=0,0,T101/T$12)</f>
        <v>3.8833902334424057E-4</v>
      </c>
      <c r="W101" s="1"/>
      <c r="X101" s="1">
        <f t="shared" ref="X101:X105" si="82">+P101-T101</f>
        <v>7012.76</v>
      </c>
      <c r="Y101" s="1"/>
      <c r="Z101" s="5">
        <f t="shared" ref="Z101:Z105" si="83">IF(T101=0,0,X101/T101)</f>
        <v>15.24513043478261</v>
      </c>
    </row>
    <row r="102" spans="1:26" s="24" customFormat="1" hidden="1" outlineLevel="2" x14ac:dyDescent="0.25">
      <c r="A102" s="27"/>
      <c r="B102" s="11" t="str">
        <f>CONCATENATE("          ", "6235", " - ", "COVID-19 EXPENSES")</f>
        <v xml:space="preserve">          6235 - COVID-19 EXPENSES</v>
      </c>
      <c r="C102" s="11"/>
      <c r="D102" s="7"/>
      <c r="E102" s="2"/>
      <c r="F102" s="6">
        <f t="shared" si="76"/>
        <v>0</v>
      </c>
      <c r="G102" s="2"/>
      <c r="H102" s="7">
        <v>0</v>
      </c>
      <c r="I102" s="2"/>
      <c r="J102" s="6">
        <f t="shared" si="77"/>
        <v>0</v>
      </c>
      <c r="K102" s="2"/>
      <c r="L102" s="7">
        <f t="shared" si="78"/>
        <v>0</v>
      </c>
      <c r="M102" s="2"/>
      <c r="N102" s="6">
        <f t="shared" si="79"/>
        <v>0</v>
      </c>
      <c r="O102" s="11"/>
      <c r="P102" s="7"/>
      <c r="Q102" s="2"/>
      <c r="R102" s="6">
        <f t="shared" si="80"/>
        <v>0</v>
      </c>
      <c r="S102" s="2"/>
      <c r="T102" s="7">
        <v>0</v>
      </c>
      <c r="U102" s="2"/>
      <c r="V102" s="6">
        <f t="shared" si="81"/>
        <v>0</v>
      </c>
      <c r="W102" s="2"/>
      <c r="X102" s="7">
        <f t="shared" si="82"/>
        <v>0</v>
      </c>
      <c r="Y102" s="2"/>
      <c r="Z102" s="6">
        <f t="shared" si="83"/>
        <v>0</v>
      </c>
    </row>
    <row r="103" spans="1:26" s="24" customFormat="1" hidden="1" outlineLevel="2" x14ac:dyDescent="0.25">
      <c r="A103" s="27"/>
      <c r="B103" s="11" t="str">
        <f>CONCATENATE("          ", "6237", " - ", "JANITORIAL SUPPLIES")</f>
        <v xml:space="preserve">          6237 - JANITORIAL SUPPLIES</v>
      </c>
      <c r="C103" s="11"/>
      <c r="D103" s="7"/>
      <c r="E103" s="2"/>
      <c r="F103" s="6">
        <f t="shared" si="76"/>
        <v>0</v>
      </c>
      <c r="G103" s="2"/>
      <c r="H103" s="7">
        <v>10</v>
      </c>
      <c r="I103" s="2"/>
      <c r="J103" s="6">
        <f t="shared" si="77"/>
        <v>3.9721315252190633E-5</v>
      </c>
      <c r="K103" s="2"/>
      <c r="L103" s="7">
        <f t="shared" si="78"/>
        <v>-10</v>
      </c>
      <c r="M103" s="2"/>
      <c r="N103" s="6">
        <f t="shared" si="79"/>
        <v>-1</v>
      </c>
      <c r="O103" s="11"/>
      <c r="P103" s="7">
        <v>77.17</v>
      </c>
      <c r="Q103" s="2"/>
      <c r="R103" s="6">
        <f t="shared" si="80"/>
        <v>5.6228070906621216E-5</v>
      </c>
      <c r="S103" s="2"/>
      <c r="T103" s="7">
        <v>80</v>
      </c>
      <c r="U103" s="2"/>
      <c r="V103" s="6">
        <f t="shared" si="81"/>
        <v>6.7537221451172274E-5</v>
      </c>
      <c r="W103" s="2"/>
      <c r="X103" s="7">
        <f t="shared" si="82"/>
        <v>-2.8299999999999983</v>
      </c>
      <c r="Y103" s="2"/>
      <c r="Z103" s="6">
        <f t="shared" si="83"/>
        <v>-3.5374999999999976E-2</v>
      </c>
    </row>
    <row r="104" spans="1:26" s="24" customFormat="1" hidden="1" outlineLevel="2" x14ac:dyDescent="0.25">
      <c r="A104" s="27"/>
      <c r="B104" s="11" t="str">
        <f>CONCATENATE("          ", "6241", " - ", "OFFICE EXPENSE")</f>
        <v xml:space="preserve">          6241 - OFFICE EXPENSE</v>
      </c>
      <c r="C104" s="11"/>
      <c r="D104" s="7">
        <v>269.39</v>
      </c>
      <c r="E104" s="2"/>
      <c r="F104" s="6">
        <f t="shared" si="76"/>
        <v>5.6354104684961325E-4</v>
      </c>
      <c r="G104" s="2"/>
      <c r="H104" s="7">
        <v>45</v>
      </c>
      <c r="I104" s="2"/>
      <c r="J104" s="6">
        <f t="shared" si="77"/>
        <v>1.7874591863485784E-4</v>
      </c>
      <c r="K104" s="2"/>
      <c r="L104" s="7">
        <f t="shared" si="78"/>
        <v>224.39</v>
      </c>
      <c r="M104" s="2"/>
      <c r="N104" s="6">
        <f t="shared" si="79"/>
        <v>4.9864444444444445</v>
      </c>
      <c r="O104" s="11"/>
      <c r="P104" s="7">
        <v>763.12</v>
      </c>
      <c r="Q104" s="2"/>
      <c r="R104" s="6">
        <f t="shared" si="80"/>
        <v>5.5602909770974187E-4</v>
      </c>
      <c r="S104" s="2"/>
      <c r="T104" s="7">
        <v>180</v>
      </c>
      <c r="U104" s="2"/>
      <c r="V104" s="6">
        <f t="shared" si="81"/>
        <v>1.5195874826513762E-4</v>
      </c>
      <c r="W104" s="2"/>
      <c r="X104" s="7">
        <f t="shared" si="82"/>
        <v>583.12</v>
      </c>
      <c r="Y104" s="2"/>
      <c r="Z104" s="6">
        <f t="shared" si="83"/>
        <v>3.2395555555555555</v>
      </c>
    </row>
    <row r="105" spans="1:26" s="24" customFormat="1" hidden="1" outlineLevel="2" x14ac:dyDescent="0.25">
      <c r="A105" s="27"/>
      <c r="B105" s="11" t="str">
        <f>CONCATENATE("          ", "6247", " - ", "STORE SUPPLIES")</f>
        <v xml:space="preserve">          6247 - STORE SUPPLIES</v>
      </c>
      <c r="C105" s="11"/>
      <c r="D105" s="7">
        <v>959.09</v>
      </c>
      <c r="E105" s="2"/>
      <c r="F105" s="6">
        <f t="shared" si="76"/>
        <v>2.0063349887634863E-3</v>
      </c>
      <c r="G105" s="2"/>
      <c r="H105" s="7">
        <v>50</v>
      </c>
      <c r="I105" s="2"/>
      <c r="J105" s="6">
        <f t="shared" si="77"/>
        <v>1.9860657626095314E-4</v>
      </c>
      <c r="K105" s="2"/>
      <c r="L105" s="7">
        <f t="shared" si="78"/>
        <v>909.09</v>
      </c>
      <c r="M105" s="2"/>
      <c r="N105" s="6">
        <f t="shared" si="79"/>
        <v>18.181799999999999</v>
      </c>
      <c r="O105" s="11"/>
      <c r="P105" s="7">
        <v>6632.47</v>
      </c>
      <c r="Q105" s="2"/>
      <c r="R105" s="6">
        <f t="shared" si="80"/>
        <v>4.8325902999357007E-3</v>
      </c>
      <c r="S105" s="2"/>
      <c r="T105" s="7">
        <v>200</v>
      </c>
      <c r="U105" s="2"/>
      <c r="V105" s="6">
        <f t="shared" si="81"/>
        <v>1.6884305362793069E-4</v>
      </c>
      <c r="W105" s="2"/>
      <c r="X105" s="7">
        <f t="shared" si="82"/>
        <v>6432.47</v>
      </c>
      <c r="Y105" s="2"/>
      <c r="Z105" s="6">
        <f t="shared" si="83"/>
        <v>32.162350000000004</v>
      </c>
    </row>
    <row r="106" spans="1:26" s="28" customFormat="1" outlineLevel="1" collapsed="1" x14ac:dyDescent="0.25">
      <c r="A106" s="29"/>
      <c r="B106" s="14" t="str">
        <f>CONCATENATE("     ","Telephone/Data Lines                              ")</f>
        <v xml:space="preserve">     Telephone/Data Lines                              </v>
      </c>
      <c r="C106" s="14"/>
      <c r="D106" s="1">
        <f>SUM(OSRRefD22_18x_0)</f>
        <v>953.29</v>
      </c>
      <c r="E106" s="1"/>
      <c r="F106" s="5">
        <f t="shared" ref="F106:F110" si="84">IF(D$12=0,0,D106/D$12)</f>
        <v>1.9942018803640366E-3</v>
      </c>
      <c r="G106" s="1"/>
      <c r="H106" s="1">
        <f>SUM(OSRRefH22_18x_0)</f>
        <v>550</v>
      </c>
      <c r="I106" s="1"/>
      <c r="J106" s="5">
        <f t="shared" ref="J106:J110" si="85">IF(H$12=0,0,H106/H$12)</f>
        <v>2.1846723388704845E-3</v>
      </c>
      <c r="K106" s="1"/>
      <c r="L106" s="1">
        <f t="shared" ref="L106:L110" si="86">+D106-H106</f>
        <v>403.28999999999996</v>
      </c>
      <c r="M106" s="1"/>
      <c r="N106" s="5">
        <f t="shared" ref="N106:N110" si="87">IF(H106=0,0,L106/H106)</f>
        <v>0.73325454545454538</v>
      </c>
      <c r="O106" s="14"/>
      <c r="P106" s="1">
        <f>SUM(OSRRefP22_18x_0)</f>
        <v>2076.96</v>
      </c>
      <c r="Q106" s="1"/>
      <c r="R106" s="5">
        <f t="shared" ref="R106:R110" si="88">IF(P$12=0,0,P106/P$12)</f>
        <v>1.5133271238851368E-3</v>
      </c>
      <c r="S106" s="1"/>
      <c r="T106" s="1">
        <f>SUM(OSRRefT22_18x_0)</f>
        <v>2200</v>
      </c>
      <c r="U106" s="1"/>
      <c r="V106" s="5">
        <f t="shared" ref="V106:V110" si="89">IF(T$12=0,0,T106/T$12)</f>
        <v>1.8572735899072376E-3</v>
      </c>
      <c r="W106" s="1"/>
      <c r="X106" s="1">
        <f t="shared" ref="X106:X110" si="90">+P106-T106</f>
        <v>-123.03999999999996</v>
      </c>
      <c r="Y106" s="1"/>
      <c r="Z106" s="5">
        <f t="shared" ref="Z106:Z110" si="91">IF(T106=0,0,X106/T106)</f>
        <v>-5.5927272727272707E-2</v>
      </c>
    </row>
    <row r="107" spans="1:26" s="24" customFormat="1" hidden="1" outlineLevel="2" x14ac:dyDescent="0.25">
      <c r="A107" s="27"/>
      <c r="B107" s="11" t="str">
        <f>CONCATENATE("          ", "6309", " - ", "TELEPHONE")</f>
        <v xml:space="preserve">          6309 - TELEPHONE</v>
      </c>
      <c r="C107" s="11"/>
      <c r="D107" s="7">
        <v>953.29</v>
      </c>
      <c r="E107" s="2"/>
      <c r="F107" s="6">
        <f t="shared" si="84"/>
        <v>1.9942018803640366E-3</v>
      </c>
      <c r="G107" s="2"/>
      <c r="H107" s="7">
        <v>550</v>
      </c>
      <c r="I107" s="2"/>
      <c r="J107" s="6">
        <f t="shared" si="85"/>
        <v>2.1846723388704845E-3</v>
      </c>
      <c r="K107" s="2"/>
      <c r="L107" s="7">
        <f t="shared" si="86"/>
        <v>403.28999999999996</v>
      </c>
      <c r="M107" s="2"/>
      <c r="N107" s="6">
        <f t="shared" si="87"/>
        <v>0.73325454545454538</v>
      </c>
      <c r="O107" s="11"/>
      <c r="P107" s="7">
        <v>2076.96</v>
      </c>
      <c r="Q107" s="2"/>
      <c r="R107" s="6">
        <f t="shared" si="88"/>
        <v>1.5133271238851368E-3</v>
      </c>
      <c r="S107" s="2"/>
      <c r="T107" s="7">
        <v>2200</v>
      </c>
      <c r="U107" s="2"/>
      <c r="V107" s="6">
        <f t="shared" si="89"/>
        <v>1.8572735899072376E-3</v>
      </c>
      <c r="W107" s="2"/>
      <c r="X107" s="7">
        <f t="shared" si="90"/>
        <v>-123.03999999999996</v>
      </c>
      <c r="Y107" s="2"/>
      <c r="Z107" s="6">
        <f t="shared" si="91"/>
        <v>-5.5927272727272707E-2</v>
      </c>
    </row>
    <row r="108" spans="1:26" s="28" customFormat="1" outlineLevel="1" collapsed="1" x14ac:dyDescent="0.25">
      <c r="A108" s="29"/>
      <c r="B108" s="14" t="str">
        <f>CONCATENATE("     ","Travel                                            ")</f>
        <v xml:space="preserve">     Travel                                            </v>
      </c>
      <c r="C108" s="14"/>
      <c r="D108" s="1">
        <f>SUM(OSRRefD22_19x_0)</f>
        <v>0</v>
      </c>
      <c r="E108" s="1"/>
      <c r="F108" s="5">
        <f t="shared" si="84"/>
        <v>0</v>
      </c>
      <c r="G108" s="1"/>
      <c r="H108" s="1">
        <f>SUM(OSRRefH22_19x_0)</f>
        <v>50</v>
      </c>
      <c r="I108" s="1"/>
      <c r="J108" s="5">
        <f t="shared" si="85"/>
        <v>1.9860657626095314E-4</v>
      </c>
      <c r="K108" s="1"/>
      <c r="L108" s="1">
        <f t="shared" si="86"/>
        <v>-50</v>
      </c>
      <c r="M108" s="1"/>
      <c r="N108" s="5">
        <f t="shared" si="87"/>
        <v>-1</v>
      </c>
      <c r="O108" s="14"/>
      <c r="P108" s="1">
        <f>SUM(OSRRefP22_19x_0)</f>
        <v>215.53</v>
      </c>
      <c r="Q108" s="1"/>
      <c r="R108" s="5">
        <f t="shared" si="88"/>
        <v>1.5704076872494584E-4</v>
      </c>
      <c r="S108" s="1"/>
      <c r="T108" s="1">
        <f>SUM(OSRRefT22_19x_0)</f>
        <v>200</v>
      </c>
      <c r="U108" s="1"/>
      <c r="V108" s="5">
        <f t="shared" si="89"/>
        <v>1.6884305362793069E-4</v>
      </c>
      <c r="W108" s="1"/>
      <c r="X108" s="1">
        <f t="shared" si="90"/>
        <v>15.530000000000001</v>
      </c>
      <c r="Y108" s="1"/>
      <c r="Z108" s="5">
        <f t="shared" si="91"/>
        <v>7.7650000000000011E-2</v>
      </c>
    </row>
    <row r="109" spans="1:26" s="24" customFormat="1" hidden="1" outlineLevel="2" x14ac:dyDescent="0.25">
      <c r="A109" s="27"/>
      <c r="B109" s="11" t="str">
        <f>CONCATENATE("          ", "6294", " - ", "TRAVEL OPERATIONAL")</f>
        <v xml:space="preserve">          6294 - TRAVEL OPERATIONAL</v>
      </c>
      <c r="C109" s="11"/>
      <c r="D109" s="7"/>
      <c r="E109" s="2"/>
      <c r="F109" s="6">
        <f t="shared" si="84"/>
        <v>0</v>
      </c>
      <c r="G109" s="2"/>
      <c r="H109" s="7">
        <v>25</v>
      </c>
      <c r="I109" s="2"/>
      <c r="J109" s="6">
        <f t="shared" si="85"/>
        <v>9.9303288130476571E-5</v>
      </c>
      <c r="K109" s="2"/>
      <c r="L109" s="7">
        <f t="shared" si="86"/>
        <v>-25</v>
      </c>
      <c r="M109" s="2"/>
      <c r="N109" s="6">
        <f t="shared" si="87"/>
        <v>-1</v>
      </c>
      <c r="O109" s="11"/>
      <c r="P109" s="7">
        <v>215.53</v>
      </c>
      <c r="Q109" s="2"/>
      <c r="R109" s="6">
        <f t="shared" si="88"/>
        <v>1.5704076872494584E-4</v>
      </c>
      <c r="S109" s="2"/>
      <c r="T109" s="7">
        <v>100</v>
      </c>
      <c r="U109" s="2"/>
      <c r="V109" s="6">
        <f t="shared" si="89"/>
        <v>8.4421526813965346E-5</v>
      </c>
      <c r="W109" s="2"/>
      <c r="X109" s="7">
        <f t="shared" si="90"/>
        <v>115.53</v>
      </c>
      <c r="Y109" s="2"/>
      <c r="Z109" s="6">
        <f t="shared" si="91"/>
        <v>1.1553</v>
      </c>
    </row>
    <row r="110" spans="1:26" s="24" customFormat="1" hidden="1" outlineLevel="2" x14ac:dyDescent="0.25">
      <c r="A110" s="27"/>
      <c r="B110" s="11" t="str">
        <f>CONCATENATE("          ", "6298", " - ", "VEHICLE MILEAGE")</f>
        <v xml:space="preserve">          6298 - VEHICLE MILEAGE</v>
      </c>
      <c r="C110" s="11"/>
      <c r="D110" s="7"/>
      <c r="E110" s="2"/>
      <c r="F110" s="6">
        <f t="shared" si="84"/>
        <v>0</v>
      </c>
      <c r="G110" s="2"/>
      <c r="H110" s="7">
        <v>25</v>
      </c>
      <c r="I110" s="2"/>
      <c r="J110" s="6">
        <f t="shared" si="85"/>
        <v>9.9303288130476571E-5</v>
      </c>
      <c r="K110" s="2"/>
      <c r="L110" s="7">
        <f t="shared" si="86"/>
        <v>-25</v>
      </c>
      <c r="M110" s="2"/>
      <c r="N110" s="6">
        <f t="shared" si="87"/>
        <v>-1</v>
      </c>
      <c r="O110" s="11"/>
      <c r="P110" s="7"/>
      <c r="Q110" s="2"/>
      <c r="R110" s="6">
        <f t="shared" si="88"/>
        <v>0</v>
      </c>
      <c r="S110" s="2"/>
      <c r="T110" s="7">
        <v>100</v>
      </c>
      <c r="U110" s="2"/>
      <c r="V110" s="6">
        <f t="shared" si="89"/>
        <v>8.4421526813965346E-5</v>
      </c>
      <c r="W110" s="2"/>
      <c r="X110" s="7">
        <f t="shared" si="90"/>
        <v>-100</v>
      </c>
      <c r="Y110" s="2"/>
      <c r="Z110" s="6">
        <f t="shared" si="91"/>
        <v>-1</v>
      </c>
    </row>
    <row r="111" spans="1:26" s="28" customFormat="1" outlineLevel="1" collapsed="1" x14ac:dyDescent="0.25">
      <c r="A111" s="29"/>
      <c r="B111" s="14" t="str">
        <f>CONCATENATE("     ","Utilities                                         ")</f>
        <v xml:space="preserve">     Utilities                                         </v>
      </c>
      <c r="C111" s="14"/>
      <c r="D111" s="1">
        <f>SUM(OSRRefD22_20x_0)</f>
        <v>38.6</v>
      </c>
      <c r="E111" s="1"/>
      <c r="F111" s="5">
        <f t="shared" ref="F111:F112" si="92">IF(D$12=0,0,D111/D$12)</f>
        <v>8.0747928313579102E-5</v>
      </c>
      <c r="G111" s="1"/>
      <c r="H111" s="1">
        <f>SUM(OSRRefH22_20x_0)</f>
        <v>120</v>
      </c>
      <c r="I111" s="1"/>
      <c r="J111" s="5">
        <f t="shared" ref="J111:J112" si="93">IF(H$12=0,0,H111/H$12)</f>
        <v>4.7665578302628756E-4</v>
      </c>
      <c r="K111" s="1"/>
      <c r="L111" s="1">
        <f t="shared" ref="L111:L112" si="94">+D111-H111</f>
        <v>-81.400000000000006</v>
      </c>
      <c r="M111" s="1"/>
      <c r="N111" s="5">
        <f t="shared" ref="N111:N112" si="95">IF(H111=0,0,L111/H111)</f>
        <v>-0.67833333333333334</v>
      </c>
      <c r="O111" s="14"/>
      <c r="P111" s="1">
        <f>SUM(OSRRefP22_20x_0)</f>
        <v>149.97999999999999</v>
      </c>
      <c r="Q111" s="1"/>
      <c r="R111" s="5">
        <f t="shared" ref="R111:R112" si="96">IF(P$12=0,0,P111/P$12)</f>
        <v>1.0927933231275171E-4</v>
      </c>
      <c r="S111" s="1"/>
      <c r="T111" s="1">
        <f>SUM(OSRRefT22_20x_0)</f>
        <v>480</v>
      </c>
      <c r="U111" s="1"/>
      <c r="V111" s="5">
        <f t="shared" ref="V111:V112" si="97">IF(T$12=0,0,T111/T$12)</f>
        <v>4.0522332870703367E-4</v>
      </c>
      <c r="W111" s="1"/>
      <c r="X111" s="1">
        <f t="shared" ref="X111:X112" si="98">+P111-T111</f>
        <v>-330.02</v>
      </c>
      <c r="Y111" s="1"/>
      <c r="Z111" s="5">
        <f t="shared" ref="Z111:Z112" si="99">IF(T111=0,0,X111/T111)</f>
        <v>-0.68754166666666661</v>
      </c>
    </row>
    <row r="112" spans="1:26" s="24" customFormat="1" hidden="1" outlineLevel="2" x14ac:dyDescent="0.25">
      <c r="A112" s="27"/>
      <c r="B112" s="11" t="str">
        <f>CONCATENATE("          ", "6274", " - ", "UTILITIES")</f>
        <v xml:space="preserve">          6274 - UTILITIES</v>
      </c>
      <c r="C112" s="11"/>
      <c r="D112" s="7">
        <v>38.6</v>
      </c>
      <c r="E112" s="2"/>
      <c r="F112" s="6">
        <f t="shared" si="92"/>
        <v>8.0747928313579102E-5</v>
      </c>
      <c r="G112" s="2"/>
      <c r="H112" s="7">
        <v>120</v>
      </c>
      <c r="I112" s="2"/>
      <c r="J112" s="6">
        <f t="shared" si="93"/>
        <v>4.7665578302628756E-4</v>
      </c>
      <c r="K112" s="2"/>
      <c r="L112" s="7">
        <f t="shared" si="94"/>
        <v>-81.400000000000006</v>
      </c>
      <c r="M112" s="2"/>
      <c r="N112" s="6">
        <f t="shared" si="95"/>
        <v>-0.67833333333333334</v>
      </c>
      <c r="O112" s="11"/>
      <c r="P112" s="7">
        <v>149.97999999999999</v>
      </c>
      <c r="Q112" s="2"/>
      <c r="R112" s="6">
        <f t="shared" si="96"/>
        <v>1.0927933231275171E-4</v>
      </c>
      <c r="S112" s="2"/>
      <c r="T112" s="7">
        <v>480</v>
      </c>
      <c r="U112" s="2"/>
      <c r="V112" s="6">
        <f t="shared" si="97"/>
        <v>4.0522332870703367E-4</v>
      </c>
      <c r="W112" s="2"/>
      <c r="X112" s="7">
        <f t="shared" si="98"/>
        <v>-330.02</v>
      </c>
      <c r="Y112" s="2"/>
      <c r="Z112" s="6">
        <f t="shared" si="99"/>
        <v>-0.68754166666666661</v>
      </c>
    </row>
    <row r="113" spans="1:26" s="60" customFormat="1" x14ac:dyDescent="0.25">
      <c r="A113" s="36"/>
      <c r="B113" s="36"/>
      <c r="C113" s="36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collapsed="1" x14ac:dyDescent="0.25">
      <c r="A114" s="10"/>
      <c r="B114" s="25" t="s">
        <v>293</v>
      </c>
      <c r="C114" s="10"/>
      <c r="D114" s="4">
        <f>SUM(OSRRefD25x_0)</f>
        <v>27298.799999999999</v>
      </c>
      <c r="E114" s="4"/>
      <c r="F114" s="12">
        <f t="shared" ref="F114:F117" si="100">IF(D$12=0,0,D114/D$12)</f>
        <v>5.7106775788775467E-2</v>
      </c>
      <c r="G114" s="4"/>
      <c r="H114" s="4">
        <f>SUM(OSRRefH25x_0)</f>
        <v>20980</v>
      </c>
      <c r="I114" s="4"/>
      <c r="J114" s="12">
        <f t="shared" ref="J114:J117" si="101">IF(H$12=0,0,H114/H$12)</f>
        <v>8.3335319399095942E-2</v>
      </c>
      <c r="K114" s="4"/>
      <c r="L114" s="4">
        <f t="shared" ref="L114:L117" si="102">+D114-H114</f>
        <v>6318.7999999999993</v>
      </c>
      <c r="M114" s="4"/>
      <c r="N114" s="12">
        <f t="shared" ref="N114:N117" si="103">IF(H114=0,0,L114/H114)</f>
        <v>0.3011820781696854</v>
      </c>
      <c r="O114" s="10"/>
      <c r="P114" s="4">
        <f>SUM(OSRRefP25x_0)</f>
        <v>119063.12</v>
      </c>
      <c r="Q114" s="4"/>
      <c r="R114" s="12">
        <f t="shared" ref="R114:R117" si="104">IF(P$12=0,0,P114/P$12)</f>
        <v>8.6752488709648176E-2</v>
      </c>
      <c r="S114" s="4"/>
      <c r="T114" s="4">
        <f>SUM(OSRRefT25x_0)</f>
        <v>32324</v>
      </c>
      <c r="U114" s="4"/>
      <c r="V114" s="12">
        <f t="shared" ref="V114:V117" si="105">IF(T$12=0,0,T114/T$12)</f>
        <v>2.7288414327346158E-2</v>
      </c>
      <c r="W114" s="4"/>
      <c r="X114" s="4">
        <f t="shared" ref="X114:X117" si="106">+P114-T114</f>
        <v>86739.12</v>
      </c>
      <c r="Y114" s="4"/>
      <c r="Z114" s="12">
        <f t="shared" ref="Z114:Z117" si="107">IF(T114=0,0,X114/T114)</f>
        <v>2.6834277935899022</v>
      </c>
    </row>
    <row r="115" spans="1:26" s="24" customFormat="1" hidden="1" outlineLevel="1" x14ac:dyDescent="0.25">
      <c r="A115" s="44"/>
      <c r="B115" s="11" t="str">
        <f>CONCATENATE("          ", "9150", " - ", "MISC. INCOME")</f>
        <v xml:space="preserve">          9150 - MISC. INCOME</v>
      </c>
      <c r="C115" s="11"/>
      <c r="D115" s="2">
        <f>--17561.84</f>
        <v>17561.84</v>
      </c>
      <c r="E115" s="2"/>
      <c r="F115" s="19">
        <f t="shared" si="100"/>
        <v>3.6737880760998598E-2</v>
      </c>
      <c r="G115" s="2"/>
      <c r="H115" s="2">
        <v>20980</v>
      </c>
      <c r="I115" s="2"/>
      <c r="J115" s="19">
        <f t="shared" si="101"/>
        <v>8.3335319399095942E-2</v>
      </c>
      <c r="K115" s="2"/>
      <c r="L115" s="2">
        <f t="shared" si="102"/>
        <v>-3418.16</v>
      </c>
      <c r="M115" s="2"/>
      <c r="N115" s="19">
        <f t="shared" si="103"/>
        <v>-0.16292469018112488</v>
      </c>
      <c r="O115" s="11"/>
      <c r="P115" s="2">
        <f>--46314.92</f>
        <v>46314.92</v>
      </c>
      <c r="Q115" s="2"/>
      <c r="R115" s="19">
        <f t="shared" si="104"/>
        <v>3.3746256392309042E-2</v>
      </c>
      <c r="S115" s="2"/>
      <c r="T115" s="2">
        <v>32324</v>
      </c>
      <c r="U115" s="2"/>
      <c r="V115" s="19">
        <f t="shared" si="105"/>
        <v>2.7288414327346158E-2</v>
      </c>
      <c r="W115" s="2"/>
      <c r="X115" s="2">
        <f t="shared" si="106"/>
        <v>13990.919999999998</v>
      </c>
      <c r="Y115" s="2"/>
      <c r="Z115" s="19">
        <f t="shared" si="107"/>
        <v>0.43283380769706714</v>
      </c>
    </row>
    <row r="116" spans="1:26" s="24" customFormat="1" hidden="1" outlineLevel="1" x14ac:dyDescent="0.25">
      <c r="A116" s="44"/>
      <c r="B116" s="11" t="str">
        <f>CONCATENATE("          ", "9160", " - ", "MISC. INCOME")</f>
        <v xml:space="preserve">          9160 - MISC. INCOME</v>
      </c>
      <c r="C116" s="11"/>
      <c r="D116" s="2">
        <f>0</f>
        <v>0</v>
      </c>
      <c r="E116" s="2"/>
      <c r="F116" s="19">
        <f t="shared" si="100"/>
        <v>0</v>
      </c>
      <c r="G116" s="2"/>
      <c r="H116" s="2"/>
      <c r="I116" s="2"/>
      <c r="J116" s="19">
        <f t="shared" si="101"/>
        <v>0</v>
      </c>
      <c r="K116" s="2"/>
      <c r="L116" s="2">
        <f t="shared" si="102"/>
        <v>0</v>
      </c>
      <c r="M116" s="2"/>
      <c r="N116" s="19">
        <f t="shared" si="103"/>
        <v>0</v>
      </c>
      <c r="O116" s="11"/>
      <c r="P116" s="2">
        <f>0</f>
        <v>0</v>
      </c>
      <c r="Q116" s="2"/>
      <c r="R116" s="19">
        <f t="shared" si="104"/>
        <v>0</v>
      </c>
      <c r="S116" s="2"/>
      <c r="T116" s="2">
        <v>0</v>
      </c>
      <c r="U116" s="2"/>
      <c r="V116" s="19">
        <f t="shared" si="105"/>
        <v>0</v>
      </c>
      <c r="W116" s="2"/>
      <c r="X116" s="2">
        <f t="shared" si="106"/>
        <v>0</v>
      </c>
      <c r="Y116" s="2"/>
      <c r="Z116" s="19">
        <f t="shared" si="107"/>
        <v>0</v>
      </c>
    </row>
    <row r="117" spans="1:26" s="24" customFormat="1" hidden="1" outlineLevel="1" x14ac:dyDescent="0.25">
      <c r="A117" s="44"/>
      <c r="B117" s="11" t="str">
        <f>CONCATENATE("          ", "9163", " - ", "MISC. INCOME")</f>
        <v xml:space="preserve">          9163 - MISC. INCOME</v>
      </c>
      <c r="C117" s="11"/>
      <c r="D117" s="2">
        <f>--9736.96</f>
        <v>9736.9599999999991</v>
      </c>
      <c r="E117" s="2"/>
      <c r="F117" s="19">
        <f t="shared" si="100"/>
        <v>2.0368895027776866E-2</v>
      </c>
      <c r="G117" s="2"/>
      <c r="H117" s="2"/>
      <c r="I117" s="2"/>
      <c r="J117" s="19">
        <f t="shared" si="101"/>
        <v>0</v>
      </c>
      <c r="K117" s="2"/>
      <c r="L117" s="2">
        <f t="shared" si="102"/>
        <v>9736.9599999999991</v>
      </c>
      <c r="M117" s="2"/>
      <c r="N117" s="19">
        <f t="shared" si="103"/>
        <v>0</v>
      </c>
      <c r="O117" s="11"/>
      <c r="P117" s="2">
        <f>--72748.2</f>
        <v>72748.2</v>
      </c>
      <c r="Q117" s="2"/>
      <c r="R117" s="19">
        <f t="shared" si="104"/>
        <v>5.3006232317339141E-2</v>
      </c>
      <c r="S117" s="2"/>
      <c r="T117" s="2"/>
      <c r="U117" s="2"/>
      <c r="V117" s="19">
        <f t="shared" si="105"/>
        <v>0</v>
      </c>
      <c r="W117" s="2"/>
      <c r="X117" s="2">
        <f t="shared" si="106"/>
        <v>72748.2</v>
      </c>
      <c r="Y117" s="2"/>
      <c r="Z117" s="19">
        <f t="shared" si="107"/>
        <v>0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10"/>
      <c r="B119" s="26" t="s">
        <v>277</v>
      </c>
      <c r="C119" s="26"/>
      <c r="D119" s="21">
        <f>+D40-D42+D114</f>
        <v>127262.24999999996</v>
      </c>
      <c r="E119" s="13"/>
      <c r="F119" s="20">
        <f>IF(D$12=0,0,D119/D$12)</f>
        <v>0.26622184041514968</v>
      </c>
      <c r="G119" s="13"/>
      <c r="H119" s="21">
        <f>+H40-H42+H114</f>
        <v>23871.379352884629</v>
      </c>
      <c r="I119" s="13"/>
      <c r="J119" s="20">
        <f>IF(H$12=0,0,H119/H$12)</f>
        <v>9.4820258478056474E-2</v>
      </c>
      <c r="K119" s="15"/>
      <c r="L119" s="21">
        <f>+D119-H119</f>
        <v>103390.87064711533</v>
      </c>
      <c r="M119" s="15"/>
      <c r="N119" s="20">
        <f>IF(H119=0,0,L119/H119)</f>
        <v>4.3311644927892079</v>
      </c>
      <c r="O119" s="25"/>
      <c r="P119" s="21">
        <f>+P40-P42+P114</f>
        <v>425030.83</v>
      </c>
      <c r="Q119" s="13"/>
      <c r="R119" s="20">
        <f>IF(P$12=0,0,P119/P$12)</f>
        <v>0.30968852723519591</v>
      </c>
      <c r="S119" s="13"/>
      <c r="T119" s="21">
        <f>+T40-T42+T114</f>
        <v>160502.49474288465</v>
      </c>
      <c r="U119" s="13"/>
      <c r="V119" s="20">
        <f>IF(T$12=0,0,T119/T$12)</f>
        <v>0.1354986566364477</v>
      </c>
      <c r="W119" s="15"/>
      <c r="X119" s="21">
        <f>+P119-T119</f>
        <v>264528.33525711537</v>
      </c>
      <c r="Y119" s="15"/>
      <c r="Z119" s="20">
        <f>IF(T119=0,0,X119/T119)</f>
        <v>1.6481260037787815</v>
      </c>
    </row>
    <row r="120" spans="1:26" x14ac:dyDescent="0.2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52"/>
      <c r="B121" s="10" t="s">
        <v>128</v>
      </c>
      <c r="C121" s="10"/>
      <c r="D121" s="4">
        <v>47936.61</v>
      </c>
      <c r="E121" s="4"/>
      <c r="F121" s="12">
        <f>IF(D$12=0,0,D121/D$12)</f>
        <v>0.10027932507450774</v>
      </c>
      <c r="G121" s="4"/>
      <c r="H121" s="4">
        <v>34925</v>
      </c>
      <c r="I121" s="4"/>
      <c r="J121" s="12">
        <f>IF(H$12=0,0,H121/H$12)</f>
        <v>0.13872669351827577</v>
      </c>
      <c r="K121" s="4"/>
      <c r="L121" s="4">
        <f>+D121-H121</f>
        <v>13011.61</v>
      </c>
      <c r="M121" s="4"/>
      <c r="N121" s="12">
        <f>IF(H121=0,0,L121/H121)</f>
        <v>0.37255862562634218</v>
      </c>
      <c r="O121" s="10"/>
      <c r="P121" s="4">
        <v>158643.43</v>
      </c>
      <c r="Q121" s="4"/>
      <c r="R121" s="12">
        <f>IF(P$12=0,0,P121/P$12)</f>
        <v>0.11559173293909031</v>
      </c>
      <c r="S121" s="4"/>
      <c r="T121" s="4">
        <v>136211</v>
      </c>
      <c r="U121" s="4"/>
      <c r="V121" s="12">
        <f>IF(T$12=0,0,T121/T$12)</f>
        <v>0.11499140588857033</v>
      </c>
      <c r="W121" s="4"/>
      <c r="X121" s="4">
        <f>+P121-T121</f>
        <v>22432.429999999993</v>
      </c>
      <c r="Y121" s="4"/>
      <c r="Z121" s="12">
        <f>IF(T121=0,0,X121/T121)</f>
        <v>0.16468882836187967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6" t="s">
        <v>126</v>
      </c>
      <c r="C123" s="26"/>
      <c r="D123" s="31">
        <f>+D119-D121</f>
        <v>79325.639999999956</v>
      </c>
      <c r="E123" s="13"/>
      <c r="F123" s="33">
        <f>IF(D$12=0,0,D123/D$12)</f>
        <v>0.16594251534064194</v>
      </c>
      <c r="G123" s="13"/>
      <c r="H123" s="31">
        <f>+H119-H121</f>
        <v>-11053.620647115371</v>
      </c>
      <c r="I123" s="13"/>
      <c r="J123" s="33">
        <f>IF(H$12=0,0,H123/H$12)</f>
        <v>-4.3906435040219308E-2</v>
      </c>
      <c r="K123" s="15"/>
      <c r="L123" s="31">
        <f>D123-H123</f>
        <v>90379.260647115327</v>
      </c>
      <c r="M123" s="15"/>
      <c r="N123" s="33">
        <f>IF(H123=0,0,L123/H123)</f>
        <v>-8.1764395153818956</v>
      </c>
      <c r="O123" s="25"/>
      <c r="P123" s="31">
        <f>+P119-P121</f>
        <v>266387.40000000002</v>
      </c>
      <c r="Q123" s="13"/>
      <c r="R123" s="33">
        <f>IF(P$12=0,0,P123/P$12)</f>
        <v>0.1940967942961056</v>
      </c>
      <c r="S123" s="13"/>
      <c r="T123" s="31">
        <f>+T119-T121</f>
        <v>24291.49474288465</v>
      </c>
      <c r="U123" s="13"/>
      <c r="V123" s="33">
        <f>IF(T$12=0,0,T123/T$12)</f>
        <v>2.0507250747877348E-2</v>
      </c>
      <c r="W123" s="15"/>
      <c r="X123" s="31">
        <f>P123-T123</f>
        <v>242095.90525711537</v>
      </c>
      <c r="Y123" s="15"/>
      <c r="Z123" s="33">
        <f>IF(T123=0,0,X123/T123)</f>
        <v>9.9662827594431569</v>
      </c>
    </row>
    <row r="124" spans="1:26" ht="15.75" thickTop="1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6" t="s">
        <v>294</v>
      </c>
      <c r="C126" s="26"/>
      <c r="D126" s="35">
        <f>SUM(D123:D125)</f>
        <v>79325.639999999956</v>
      </c>
      <c r="E126" s="13"/>
      <c r="F126" s="32">
        <f>IF(D$12=0,0,D126/D$12)</f>
        <v>0.16594251534064194</v>
      </c>
      <c r="G126" s="13"/>
      <c r="H126" s="35">
        <f>SUM(H123:H125)</f>
        <v>-11053.620647115371</v>
      </c>
      <c r="I126" s="13"/>
      <c r="J126" s="32">
        <f>IF(H$12=0,0,H126/H$12)</f>
        <v>-4.3906435040219308E-2</v>
      </c>
      <c r="K126" s="15"/>
      <c r="L126" s="35">
        <f>+D126-H126</f>
        <v>90379.260647115327</v>
      </c>
      <c r="M126" s="15"/>
      <c r="N126" s="32">
        <f>IF(H126=0,0,L126/H126)</f>
        <v>-8.1764395153818956</v>
      </c>
      <c r="O126" s="25"/>
      <c r="P126" s="35">
        <f>SUM(P123:P125)</f>
        <v>266387.40000000002</v>
      </c>
      <c r="Q126" s="13"/>
      <c r="R126" s="32">
        <f>IF(P$12=0,0,P126/P$12)</f>
        <v>0.1940967942961056</v>
      </c>
      <c r="S126" s="13"/>
      <c r="T126" s="35">
        <f>SUM(T123:T125)</f>
        <v>24291.49474288465</v>
      </c>
      <c r="U126" s="13"/>
      <c r="V126" s="32">
        <f>IF(T$12=0,0,T126/T$12)</f>
        <v>2.0507250747877348E-2</v>
      </c>
      <c r="W126" s="15"/>
      <c r="X126" s="35">
        <f>+P126-T126</f>
        <v>242095.90525711537</v>
      </c>
      <c r="Y126" s="15"/>
      <c r="Z126" s="32">
        <f>IF(T126=0,0,X126/T126)</f>
        <v>9.9662827594431569</v>
      </c>
    </row>
    <row r="127" spans="1:26" ht="15.75" thickTop="1" x14ac:dyDescent="0.25">
      <c r="A127" s="9"/>
      <c r="C127" s="9"/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  <row r="128" spans="1:26" x14ac:dyDescent="0.25">
      <c r="A128" s="9"/>
      <c r="B128" s="59">
        <v>44517.962857638886</v>
      </c>
      <c r="D128" s="18"/>
      <c r="E128" s="18"/>
      <c r="G128" s="18"/>
      <c r="H128" s="18"/>
      <c r="I128" s="18"/>
      <c r="J128" s="42"/>
      <c r="K128" s="18"/>
      <c r="L128" s="18"/>
      <c r="M128" s="18"/>
      <c r="P128" s="18"/>
      <c r="Q128" s="18"/>
      <c r="R128" s="42"/>
      <c r="S128" s="18"/>
      <c r="T128" s="18"/>
      <c r="U128" s="18"/>
      <c r="V128" s="42"/>
      <c r="W128" s="18"/>
      <c r="X128" s="18"/>
    </row>
    <row r="129" spans="1:24" x14ac:dyDescent="0.25">
      <c r="A129" s="9"/>
      <c r="B129" s="62" t="s">
        <v>56</v>
      </c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A130" s="9"/>
      <c r="B130" s="57"/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  <row r="131" spans="1:24" x14ac:dyDescent="0.25"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","315", " - ", "Bookstore Retail")</f>
        <v>Department 315 - Bookstore Retail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449676.7</v>
      </c>
      <c r="E12" s="4"/>
      <c r="F12" s="12"/>
      <c r="G12" s="4"/>
      <c r="H12" s="4">
        <f>SUM(OSRRefH13x_0)</f>
        <v>229640</v>
      </c>
      <c r="I12" s="4"/>
      <c r="J12" s="12"/>
      <c r="K12" s="4"/>
      <c r="L12" s="4">
        <f t="shared" ref="L12:L17" si="0">+D12-H12</f>
        <v>220036.7</v>
      </c>
      <c r="M12" s="4"/>
      <c r="N12" s="12">
        <f t="shared" ref="N12:N17" si="1">IF(H12=0,0,L12/H12)</f>
        <v>0.95818106601637354</v>
      </c>
      <c r="O12" s="10"/>
      <c r="P12" s="4">
        <f>SUM(OSRRefP13x_0)</f>
        <v>1254617.46</v>
      </c>
      <c r="Q12" s="4"/>
      <c r="R12" s="12"/>
      <c r="S12" s="4"/>
      <c r="T12" s="4">
        <f>SUM(OSRRefT13x_0)</f>
        <v>1081285</v>
      </c>
      <c r="U12" s="4"/>
      <c r="V12" s="12"/>
      <c r="W12" s="4"/>
      <c r="X12" s="4">
        <f t="shared" ref="X12:X17" si="2">+P12-T12</f>
        <v>173332.45999999996</v>
      </c>
      <c r="Y12" s="4"/>
      <c r="Z12" s="12">
        <f t="shared" ref="Z12:Z17" si="3">IF(T12=0,0,X12/T12)</f>
        <v>0.16030228848083528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--402019.25</f>
        <v>402019.25</v>
      </c>
      <c r="E13" s="2"/>
      <c r="F13" s="19"/>
      <c r="G13" s="2"/>
      <c r="H13" s="2">
        <v>229640</v>
      </c>
      <c r="I13" s="2"/>
      <c r="J13" s="19"/>
      <c r="K13" s="2"/>
      <c r="L13" s="2">
        <f t="shared" si="0"/>
        <v>172379.25</v>
      </c>
      <c r="M13" s="2"/>
      <c r="N13" s="19">
        <f t="shared" si="1"/>
        <v>0.75064993032572724</v>
      </c>
      <c r="O13" s="11"/>
      <c r="P13" s="2">
        <f>--1145023.51</f>
        <v>1145023.51</v>
      </c>
      <c r="Q13" s="2"/>
      <c r="R13" s="19"/>
      <c r="S13" s="2"/>
      <c r="T13" s="2">
        <v>1081285</v>
      </c>
      <c r="U13" s="2"/>
      <c r="V13" s="19"/>
      <c r="W13" s="2"/>
      <c r="X13" s="2">
        <f t="shared" si="2"/>
        <v>63738.510000000009</v>
      </c>
      <c r="Y13" s="2"/>
      <c r="Z13" s="19">
        <f t="shared" si="3"/>
        <v>5.8947002871583359E-2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--62874.2</f>
        <v>62874.2</v>
      </c>
      <c r="E14" s="2"/>
      <c r="F14" s="19"/>
      <c r="G14" s="2"/>
      <c r="H14" s="2"/>
      <c r="I14" s="2"/>
      <c r="J14" s="19"/>
      <c r="K14" s="2"/>
      <c r="L14" s="2">
        <f t="shared" si="0"/>
        <v>62874.2</v>
      </c>
      <c r="M14" s="2"/>
      <c r="N14" s="19">
        <f t="shared" si="1"/>
        <v>0</v>
      </c>
      <c r="O14" s="11"/>
      <c r="P14" s="2">
        <f>--146258.74</f>
        <v>146258.74</v>
      </c>
      <c r="Q14" s="2"/>
      <c r="R14" s="19"/>
      <c r="S14" s="2"/>
      <c r="T14" s="2"/>
      <c r="U14" s="2"/>
      <c r="V14" s="19"/>
      <c r="W14" s="2"/>
      <c r="X14" s="2">
        <f t="shared" si="2"/>
        <v>146258.74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-8294.97</f>
        <v>-8294.9699999999993</v>
      </c>
      <c r="E15" s="2"/>
      <c r="F15" s="19"/>
      <c r="G15" s="2"/>
      <c r="H15" s="2"/>
      <c r="I15" s="2"/>
      <c r="J15" s="19"/>
      <c r="K15" s="2"/>
      <c r="L15" s="2">
        <f t="shared" si="0"/>
        <v>-8294.9699999999993</v>
      </c>
      <c r="M15" s="2"/>
      <c r="N15" s="19">
        <f t="shared" si="1"/>
        <v>0</v>
      </c>
      <c r="O15" s="11"/>
      <c r="P15" s="2">
        <f>-29184.03</f>
        <v>-29184.03</v>
      </c>
      <c r="Q15" s="2"/>
      <c r="R15" s="19"/>
      <c r="S15" s="2"/>
      <c r="T15" s="2"/>
      <c r="U15" s="2"/>
      <c r="V15" s="19"/>
      <c r="W15" s="2"/>
      <c r="X15" s="2">
        <f t="shared" si="2"/>
        <v>-29184.03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"4300", " - ", "NON-TAX RETURNS")</f>
        <v xml:space="preserve">          4300 - NON-TAX RETURNS</v>
      </c>
      <c r="C16" s="11"/>
      <c r="D16" s="2">
        <f>-335.33</f>
        <v>-335.33</v>
      </c>
      <c r="E16" s="2"/>
      <c r="F16" s="19"/>
      <c r="G16" s="2"/>
      <c r="H16" s="2"/>
      <c r="I16" s="2"/>
      <c r="J16" s="19"/>
      <c r="K16" s="2"/>
      <c r="L16" s="2">
        <f t="shared" si="0"/>
        <v>-335.33</v>
      </c>
      <c r="M16" s="2"/>
      <c r="N16" s="19">
        <f t="shared" si="1"/>
        <v>0</v>
      </c>
      <c r="O16" s="11"/>
      <c r="P16" s="2">
        <f>-894.31</f>
        <v>-894.31</v>
      </c>
      <c r="Q16" s="2"/>
      <c r="R16" s="19"/>
      <c r="S16" s="2"/>
      <c r="T16" s="2"/>
      <c r="U16" s="2"/>
      <c r="V16" s="19"/>
      <c r="W16" s="2"/>
      <c r="X16" s="2">
        <f t="shared" si="2"/>
        <v>-894.31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"4500", " - ", "SALES DISCOUNT")</f>
        <v xml:space="preserve">          4500 - SALES DISCOUNT</v>
      </c>
      <c r="C17" s="11"/>
      <c r="D17" s="2">
        <f>-6586.45</f>
        <v>-6586.45</v>
      </c>
      <c r="E17" s="2"/>
      <c r="F17" s="19"/>
      <c r="G17" s="2"/>
      <c r="H17" s="2"/>
      <c r="I17" s="2"/>
      <c r="J17" s="19"/>
      <c r="K17" s="2"/>
      <c r="L17" s="2">
        <f t="shared" si="0"/>
        <v>-6586.45</v>
      </c>
      <c r="M17" s="2"/>
      <c r="N17" s="19">
        <f t="shared" si="1"/>
        <v>0</v>
      </c>
      <c r="O17" s="11"/>
      <c r="P17" s="2">
        <f>-6586.45</f>
        <v>-6586.45</v>
      </c>
      <c r="Q17" s="2"/>
      <c r="R17" s="19"/>
      <c r="S17" s="2"/>
      <c r="T17" s="2"/>
      <c r="U17" s="2"/>
      <c r="V17" s="19"/>
      <c r="W17" s="2"/>
      <c r="X17" s="2">
        <f t="shared" si="2"/>
        <v>-6586.45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5" t="s">
        <v>257</v>
      </c>
      <c r="C19" s="10"/>
      <c r="D19" s="4">
        <f>SUM(OSRRefD16x_0)</f>
        <v>259592.27</v>
      </c>
      <c r="E19" s="4"/>
      <c r="F19" s="12">
        <f t="shared" ref="F19:F38" si="4">IF(D$12=0,0,D19/D$12)</f>
        <v>0.57728645936069178</v>
      </c>
      <c r="G19" s="4"/>
      <c r="H19" s="4">
        <f>SUM(OSRRefH16x_0)</f>
        <v>113634</v>
      </c>
      <c r="I19" s="4"/>
      <c r="J19" s="12">
        <f t="shared" ref="J19:J38" si="5">IF(H$12=0,0,H19/H$12)</f>
        <v>0.49483539453056957</v>
      </c>
      <c r="K19" s="4"/>
      <c r="L19" s="4">
        <f t="shared" ref="L19:L38" si="6">+D19-H19</f>
        <v>145958.26999999999</v>
      </c>
      <c r="M19" s="4"/>
      <c r="N19" s="12">
        <f t="shared" ref="N19:N38" si="7">IF(H19=0,0,L19/H19)</f>
        <v>1.2844594927574493</v>
      </c>
      <c r="O19" s="10"/>
      <c r="P19" s="4">
        <f>SUM(OSRRefP16x_0)</f>
        <v>624123.6</v>
      </c>
      <c r="Q19" s="4"/>
      <c r="R19" s="12">
        <f t="shared" ref="R19:R38" si="8">IF(P$12=0,0,P19/P$12)</f>
        <v>0.49746127397270556</v>
      </c>
      <c r="S19" s="4"/>
      <c r="T19" s="4">
        <f>SUM(OSRRefT16x_0)</f>
        <v>572510</v>
      </c>
      <c r="U19" s="4"/>
      <c r="V19" s="12">
        <f t="shared" ref="V19:V38" si="9">IF(T$12=0,0,T19/T$12)</f>
        <v>0.52947187836694298</v>
      </c>
      <c r="W19" s="4"/>
      <c r="X19" s="4">
        <f t="shared" ref="X19:X38" si="10">+P19-T19</f>
        <v>51613.599999999977</v>
      </c>
      <c r="Y19" s="4"/>
      <c r="Z19" s="12">
        <f t="shared" ref="Z19:Z38" si="11">IF(T19=0,0,X19/T19)</f>
        <v>9.0153185097203506E-2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445922.98</v>
      </c>
      <c r="E20" s="2"/>
      <c r="F20" s="19">
        <f t="shared" si="4"/>
        <v>0.99165240271510613</v>
      </c>
      <c r="G20" s="2"/>
      <c r="H20" s="2">
        <v>113634</v>
      </c>
      <c r="I20" s="2"/>
      <c r="J20" s="19">
        <f t="shared" si="5"/>
        <v>0.49483539453056957</v>
      </c>
      <c r="K20" s="2"/>
      <c r="L20" s="2">
        <f t="shared" si="6"/>
        <v>332288.98</v>
      </c>
      <c r="M20" s="2"/>
      <c r="N20" s="19">
        <f t="shared" si="7"/>
        <v>2.9242038474400265</v>
      </c>
      <c r="O20" s="11"/>
      <c r="P20" s="2">
        <v>723761.77</v>
      </c>
      <c r="Q20" s="2"/>
      <c r="R20" s="19">
        <f t="shared" si="8"/>
        <v>0.57687844548249789</v>
      </c>
      <c r="S20" s="2"/>
      <c r="T20" s="2">
        <v>572510</v>
      </c>
      <c r="U20" s="2"/>
      <c r="V20" s="19">
        <f t="shared" si="9"/>
        <v>0.52947187836694298</v>
      </c>
      <c r="W20" s="2"/>
      <c r="X20" s="2">
        <f t="shared" si="10"/>
        <v>151251.77000000002</v>
      </c>
      <c r="Y20" s="2"/>
      <c r="Z20" s="19">
        <f t="shared" si="11"/>
        <v>0.26419061675778593</v>
      </c>
    </row>
    <row r="21" spans="1:26" s="24" customFormat="1" hidden="1" outlineLevel="1" x14ac:dyDescent="0.25">
      <c r="A21" s="44"/>
      <c r="B21" s="11" t="str">
        <f>CONCATENATE("          ", "5027", " - ", "PURCHASES @ COST-SCHOOL SUPPLI")</f>
        <v xml:space="preserve">          5027 - PURCHASES @ COST-SCHOOL SUPPLI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"5028", " - ", "PURCHASES @ COST-ART/TECH")</f>
        <v xml:space="preserve">          5028 - PURCHASES @ COST-ART/TECH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"5031", " - ", "PURCHASES @ COST-FOOD")</f>
        <v xml:space="preserve">          5031 - PURCHASES @ COST-FOOD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"5040", " - ", "PURCHASES @ COST-LOGO CLOTHING")</f>
        <v xml:space="preserve">          5040 - PURCHASES @ COST-LOGO CLOTHING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"5041", " - ", "PURCHASES @ COST-LOGO GIFTS")</f>
        <v xml:space="preserve">          5041 - PURCHASES @ COST-LOGO GIFTS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"5042", " - ", "PURCHASES @ COST-EVERYDAY GIFT")</f>
        <v xml:space="preserve">          5042 - PURCHASES @ COST-EVERYDAY GIFT</v>
      </c>
      <c r="C26" s="11"/>
      <c r="D26" s="2"/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"5043", " - ", "PURCHASES @ COST-CARDS")</f>
        <v xml:space="preserve">          5043 - PURCHASES @ COST-CARDS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"5044", " - ", "PURCHASES @ COST-ACCESSORIES")</f>
        <v xml:space="preserve">          5044 - PURCHASES @ COST-ACCESSORIES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"5045", " - ", "PURCHASES @ COST-SPECIAL ORDER")</f>
        <v xml:space="preserve">          5045 - PURCHASES @ COST-SPECIAL ORDER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s="24" customFormat="1" hidden="1" outlineLevel="1" x14ac:dyDescent="0.25">
      <c r="A30" s="44"/>
      <c r="B30" s="11" t="str">
        <f>CONCATENATE("          ", "5200", " - ", "PURCHASES OFFSET")</f>
        <v xml:space="preserve">          5200 - PURCHASES OFFSET</v>
      </c>
      <c r="C30" s="11"/>
      <c r="D30" s="2">
        <v>-451294.36</v>
      </c>
      <c r="E30" s="2"/>
      <c r="F30" s="19">
        <f t="shared" si="4"/>
        <v>-1.0035973845209236</v>
      </c>
      <c r="G30" s="2"/>
      <c r="H30" s="2"/>
      <c r="I30" s="2"/>
      <c r="J30" s="19">
        <f t="shared" si="5"/>
        <v>0</v>
      </c>
      <c r="K30" s="2"/>
      <c r="L30" s="2">
        <f t="shared" si="6"/>
        <v>-451294.36</v>
      </c>
      <c r="M30" s="2"/>
      <c r="N30" s="19">
        <f t="shared" si="7"/>
        <v>0</v>
      </c>
      <c r="O30" s="11"/>
      <c r="P30" s="2">
        <v>-736455.37</v>
      </c>
      <c r="Q30" s="2"/>
      <c r="R30" s="19">
        <f t="shared" si="8"/>
        <v>-0.58699595173814978</v>
      </c>
      <c r="S30" s="2"/>
      <c r="T30" s="2"/>
      <c r="U30" s="2"/>
      <c r="V30" s="19">
        <f t="shared" si="9"/>
        <v>0</v>
      </c>
      <c r="W30" s="2"/>
      <c r="X30" s="2">
        <f t="shared" si="10"/>
        <v>-736455.37</v>
      </c>
      <c r="Y30" s="2"/>
      <c r="Z30" s="19">
        <f t="shared" si="11"/>
        <v>0</v>
      </c>
    </row>
    <row r="31" spans="1:26" s="24" customFormat="1" hidden="1" outlineLevel="1" x14ac:dyDescent="0.25">
      <c r="A31" s="44"/>
      <c r="B31" s="11" t="str">
        <f>CONCATENATE("          ", "5300", " - ", "COG$ OFFSET")</f>
        <v xml:space="preserve">          5300 - COG$ OFFSET</v>
      </c>
      <c r="C31" s="11"/>
      <c r="D31" s="2">
        <v>259592.27</v>
      </c>
      <c r="E31" s="2"/>
      <c r="F31" s="19">
        <f t="shared" si="4"/>
        <v>0.57728645936069178</v>
      </c>
      <c r="G31" s="2"/>
      <c r="H31" s="2"/>
      <c r="I31" s="2"/>
      <c r="J31" s="19">
        <f t="shared" si="5"/>
        <v>0</v>
      </c>
      <c r="K31" s="2"/>
      <c r="L31" s="2">
        <f t="shared" si="6"/>
        <v>259592.27</v>
      </c>
      <c r="M31" s="2"/>
      <c r="N31" s="19">
        <f t="shared" si="7"/>
        <v>0</v>
      </c>
      <c r="O31" s="11"/>
      <c r="P31" s="2">
        <v>624123.6</v>
      </c>
      <c r="Q31" s="2"/>
      <c r="R31" s="19">
        <f t="shared" si="8"/>
        <v>0.49746127397270556</v>
      </c>
      <c r="S31" s="2"/>
      <c r="T31" s="2"/>
      <c r="U31" s="2"/>
      <c r="V31" s="19">
        <f t="shared" si="9"/>
        <v>0</v>
      </c>
      <c r="W31" s="2"/>
      <c r="X31" s="2">
        <f t="shared" si="10"/>
        <v>624123.6</v>
      </c>
      <c r="Y31" s="2"/>
      <c r="Z31" s="19">
        <f t="shared" si="11"/>
        <v>0</v>
      </c>
    </row>
    <row r="32" spans="1:26" s="24" customFormat="1" hidden="1" outlineLevel="1" x14ac:dyDescent="0.25">
      <c r="A32" s="44"/>
      <c r="B32" s="11" t="str">
        <f>CONCATENATE("          ", "5500", " - ", "FREIGHT-IN")</f>
        <v xml:space="preserve">          5500 - FREIGHT-IN</v>
      </c>
      <c r="C32" s="11"/>
      <c r="D32" s="2">
        <v>5371.38</v>
      </c>
      <c r="E32" s="2"/>
      <c r="F32" s="19">
        <f t="shared" si="4"/>
        <v>1.194498180581738E-2</v>
      </c>
      <c r="G32" s="2"/>
      <c r="H32" s="2"/>
      <c r="I32" s="2"/>
      <c r="J32" s="19">
        <f t="shared" si="5"/>
        <v>0</v>
      </c>
      <c r="K32" s="2"/>
      <c r="L32" s="2">
        <f t="shared" si="6"/>
        <v>5371.38</v>
      </c>
      <c r="M32" s="2"/>
      <c r="N32" s="19">
        <f t="shared" si="7"/>
        <v>0</v>
      </c>
      <c r="O32" s="11"/>
      <c r="P32" s="2">
        <v>12693.6</v>
      </c>
      <c r="Q32" s="2"/>
      <c r="R32" s="19">
        <f t="shared" si="8"/>
        <v>1.0117506255651823E-2</v>
      </c>
      <c r="S32" s="2"/>
      <c r="T32" s="2"/>
      <c r="U32" s="2"/>
      <c r="V32" s="19">
        <f t="shared" si="9"/>
        <v>0</v>
      </c>
      <c r="W32" s="2"/>
      <c r="X32" s="2">
        <f t="shared" si="10"/>
        <v>12693.6</v>
      </c>
      <c r="Y32" s="2"/>
      <c r="Z32" s="19">
        <f t="shared" si="11"/>
        <v>0</v>
      </c>
    </row>
    <row r="33" spans="1:26" s="24" customFormat="1" hidden="1" outlineLevel="1" x14ac:dyDescent="0.25">
      <c r="A33" s="44"/>
      <c r="B33" s="11" t="str">
        <f>CONCATENATE("          ", "5527", " - ", "FREIGHT-IN-SCHOOL SUPPLIES")</f>
        <v xml:space="preserve">          5527 - FREIGHT-IN-SCHOOL SUPPLIES</v>
      </c>
      <c r="C33" s="11"/>
      <c r="D33" s="2"/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25">
      <c r="A34" s="44"/>
      <c r="B34" s="11" t="str">
        <f>CONCATENATE("          ", "5540", " - ", "FREIGHT-IN-LOGO CLOTHING")</f>
        <v xml:space="preserve">          5540 - FREIGHT-IN-LOGO CLOTHING</v>
      </c>
      <c r="C34" s="11"/>
      <c r="D34" s="2"/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25">
      <c r="A35" s="44"/>
      <c r="B35" s="11" t="str">
        <f>CONCATENATE("          ", "5541", " - ", "FREIGHT-IN-LOGO GIFTS")</f>
        <v xml:space="preserve">          5541 - FREIGHT-IN-LOGO GIFTS</v>
      </c>
      <c r="C35" s="11"/>
      <c r="D35" s="2"/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25">
      <c r="A36" s="44"/>
      <c r="B36" s="11" t="str">
        <f>CONCATENATE("          ", "5542", " - ", "FREIGHT-IN-EVERYDAY GIFTS")</f>
        <v xml:space="preserve">          5542 - FREIGHT-IN-EVERYDAY GIFTS</v>
      </c>
      <c r="C36" s="11"/>
      <c r="D36" s="2"/>
      <c r="E36" s="2"/>
      <c r="F36" s="19">
        <f t="shared" si="4"/>
        <v>0</v>
      </c>
      <c r="G36" s="2"/>
      <c r="H36" s="2"/>
      <c r="I36" s="2"/>
      <c r="J36" s="19">
        <f t="shared" si="5"/>
        <v>0</v>
      </c>
      <c r="K36" s="2"/>
      <c r="L36" s="2">
        <f t="shared" si="6"/>
        <v>0</v>
      </c>
      <c r="M36" s="2"/>
      <c r="N36" s="19">
        <f t="shared" si="7"/>
        <v>0</v>
      </c>
      <c r="O36" s="11"/>
      <c r="P36" s="2">
        <v>0</v>
      </c>
      <c r="Q36" s="2"/>
      <c r="R36" s="19">
        <f t="shared" si="8"/>
        <v>0</v>
      </c>
      <c r="S36" s="2"/>
      <c r="T36" s="2"/>
      <c r="U36" s="2"/>
      <c r="V36" s="19">
        <f t="shared" si="9"/>
        <v>0</v>
      </c>
      <c r="W36" s="2"/>
      <c r="X36" s="2">
        <f t="shared" si="10"/>
        <v>0</v>
      </c>
      <c r="Y36" s="2"/>
      <c r="Z36" s="19">
        <f t="shared" si="11"/>
        <v>0</v>
      </c>
    </row>
    <row r="37" spans="1:26" s="24" customFormat="1" hidden="1" outlineLevel="1" x14ac:dyDescent="0.25">
      <c r="A37" s="44"/>
      <c r="B37" s="11" t="str">
        <f>CONCATENATE("          ", "5544", " - ", "FREIGHT-IN-ACCESSORIES")</f>
        <v xml:space="preserve">          5544 - FREIGHT-IN-ACCESSORIES</v>
      </c>
      <c r="C37" s="11"/>
      <c r="D37" s="2"/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s="24" customFormat="1" hidden="1" outlineLevel="1" x14ac:dyDescent="0.25">
      <c r="A38" s="44"/>
      <c r="B38" s="11" t="str">
        <f>CONCATENATE("          ", "5545", " - ", "FREIGHT-IN-SPECIAL ORDERS")</f>
        <v xml:space="preserve">          5545 - FREIGHT-IN-SPECIAL ORDERS</v>
      </c>
      <c r="C38" s="11"/>
      <c r="D38" s="2"/>
      <c r="E38" s="2"/>
      <c r="F38" s="19">
        <f t="shared" si="4"/>
        <v>0</v>
      </c>
      <c r="G38" s="2"/>
      <c r="H38" s="2"/>
      <c r="I38" s="2"/>
      <c r="J38" s="19">
        <f t="shared" si="5"/>
        <v>0</v>
      </c>
      <c r="K38" s="2"/>
      <c r="L38" s="2">
        <f t="shared" si="6"/>
        <v>0</v>
      </c>
      <c r="M38" s="2"/>
      <c r="N38" s="19">
        <f t="shared" si="7"/>
        <v>0</v>
      </c>
      <c r="O38" s="11"/>
      <c r="P38" s="2">
        <v>0</v>
      </c>
      <c r="Q38" s="2"/>
      <c r="R38" s="19">
        <f t="shared" si="8"/>
        <v>0</v>
      </c>
      <c r="S38" s="2"/>
      <c r="T38" s="2"/>
      <c r="U38" s="2"/>
      <c r="V38" s="19">
        <f t="shared" si="9"/>
        <v>0</v>
      </c>
      <c r="W38" s="2"/>
      <c r="X38" s="2">
        <f t="shared" si="10"/>
        <v>0</v>
      </c>
      <c r="Y38" s="2"/>
      <c r="Z38" s="19">
        <f t="shared" si="11"/>
        <v>0</v>
      </c>
    </row>
    <row r="39" spans="1:26" x14ac:dyDescent="0.25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25">
      <c r="A40" s="10"/>
      <c r="B40" s="26" t="s">
        <v>108</v>
      </c>
      <c r="C40" s="26"/>
      <c r="D40" s="21">
        <f>D12-D19</f>
        <v>190084.43000000002</v>
      </c>
      <c r="E40" s="13"/>
      <c r="F40" s="20">
        <f>IF(D$12=0,0,D40/D$12)</f>
        <v>0.42271354063930822</v>
      </c>
      <c r="G40" s="13"/>
      <c r="H40" s="21">
        <f>H12-H19</f>
        <v>116006</v>
      </c>
      <c r="I40" s="13"/>
      <c r="J40" s="20">
        <f>IF(H$12=0,0,H40/H$12)</f>
        <v>0.50516460546943043</v>
      </c>
      <c r="K40" s="15"/>
      <c r="L40" s="21">
        <f>+D40-H40</f>
        <v>74078.430000000022</v>
      </c>
      <c r="M40" s="15"/>
      <c r="N40" s="20">
        <f>IF(H40=0,0,L40/H40)</f>
        <v>0.63857412547626868</v>
      </c>
      <c r="O40" s="25"/>
      <c r="P40" s="21">
        <f>P12-P19</f>
        <v>630493.86</v>
      </c>
      <c r="Q40" s="13"/>
      <c r="R40" s="20">
        <f>IF(P$12=0,0,P40/P$12)</f>
        <v>0.50253872602729444</v>
      </c>
      <c r="S40" s="13"/>
      <c r="T40" s="21">
        <f>T12-T19</f>
        <v>508775</v>
      </c>
      <c r="U40" s="13"/>
      <c r="V40" s="20">
        <f>IF(T$12=0,0,T40/T$12)</f>
        <v>0.47052812163305696</v>
      </c>
      <c r="W40" s="15"/>
      <c r="X40" s="21">
        <f>+P40-T40</f>
        <v>121718.85999999999</v>
      </c>
      <c r="Y40" s="15"/>
      <c r="Z40" s="20">
        <f>IF(T40=0,0,X40/T40)</f>
        <v>0.23923907424696572</v>
      </c>
    </row>
    <row r="41" spans="1:26" x14ac:dyDescent="0.25">
      <c r="A41" s="9"/>
      <c r="B41" s="10"/>
      <c r="C41" s="9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6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25">
      <c r="A42" s="10"/>
      <c r="B42" s="25" t="s">
        <v>295</v>
      </c>
      <c r="C42" s="10"/>
      <c r="D42" s="22">
        <f>SUM(OSRRefD22x_0)</f>
        <v>87608.650000000009</v>
      </c>
      <c r="E42" s="22"/>
      <c r="F42" s="34">
        <f t="shared" ref="F42:F52" si="12">IF(D$12=0,0,D42/D$12)</f>
        <v>0.19482586044596042</v>
      </c>
      <c r="G42" s="22"/>
      <c r="H42" s="22">
        <f>SUM(OSRRefH22x_0)</f>
        <v>102674.96212740385</v>
      </c>
      <c r="I42" s="22"/>
      <c r="J42" s="34">
        <f t="shared" ref="J42:J52" si="13">IF(H$12=0,0,H42/H$12)</f>
        <v>0.44711270740029546</v>
      </c>
      <c r="K42" s="4"/>
      <c r="L42" s="22">
        <f t="shared" ref="L42:L52" si="14">+D42-H42</f>
        <v>-15066.312127403842</v>
      </c>
      <c r="M42" s="4"/>
      <c r="N42" s="34">
        <f t="shared" ref="N42:N52" si="15">IF(H42=0,0,L42/H42)</f>
        <v>-0.14673793703190136</v>
      </c>
      <c r="O42" s="10"/>
      <c r="P42" s="22">
        <f>SUM(OSRRefP22x_0)</f>
        <v>319916.98999999993</v>
      </c>
      <c r="Q42" s="22"/>
      <c r="R42" s="34">
        <f t="shared" ref="R42:R52" si="16">IF(P$12=0,0,P42/P$12)</f>
        <v>0.25499166096413162</v>
      </c>
      <c r="S42" s="22"/>
      <c r="T42" s="22">
        <f>SUM(OSRRefT22x_0)</f>
        <v>350195.15065865393</v>
      </c>
      <c r="U42" s="22"/>
      <c r="V42" s="34">
        <f t="shared" ref="V42:V52" si="17">IF(T$12=0,0,T42/T$12)</f>
        <v>0.32386942448906064</v>
      </c>
      <c r="W42" s="4"/>
      <c r="X42" s="22">
        <f t="shared" ref="X42:X52" si="18">+P42-T42</f>
        <v>-30278.160658654</v>
      </c>
      <c r="Y42" s="4"/>
      <c r="Z42" s="34">
        <f t="shared" ref="Z42:Z52" si="19">IF(T42=0,0,X42/T42)</f>
        <v>-8.6460822206436153E-2</v>
      </c>
    </row>
    <row r="43" spans="1:26" s="28" customFormat="1" outlineLevel="1" collapsed="1" x14ac:dyDescent="0.25">
      <c r="A43" s="29"/>
      <c r="B43" s="14" t="str">
        <f>CONCATENATE("     ","*Benefits                                         ")</f>
        <v xml:space="preserve">     *Benefits                                         </v>
      </c>
      <c r="C43" s="14"/>
      <c r="D43" s="1">
        <f>SUM(OSRRefD22_0x_0)</f>
        <v>15766.84</v>
      </c>
      <c r="E43" s="1"/>
      <c r="F43" s="5">
        <f t="shared" si="12"/>
        <v>3.5062612761568475E-2</v>
      </c>
      <c r="G43" s="1"/>
      <c r="H43" s="1">
        <f>SUM(OSRRefH22_0x_0)</f>
        <v>20510.774627403851</v>
      </c>
      <c r="I43" s="1"/>
      <c r="J43" s="5">
        <f t="shared" si="13"/>
        <v>8.9317081638233112E-2</v>
      </c>
      <c r="K43" s="1"/>
      <c r="L43" s="1">
        <f t="shared" si="14"/>
        <v>-4743.9346274038508</v>
      </c>
      <c r="M43" s="1"/>
      <c r="N43" s="5">
        <f t="shared" si="15"/>
        <v>-0.23128988122494493</v>
      </c>
      <c r="O43" s="14"/>
      <c r="P43" s="1">
        <f>SUM(OSRRefP22_0x_0)</f>
        <v>54164.289999999994</v>
      </c>
      <c r="Q43" s="1"/>
      <c r="R43" s="5">
        <f t="shared" si="16"/>
        <v>4.3171956175390699E-2</v>
      </c>
      <c r="S43" s="1"/>
      <c r="T43" s="1">
        <f>SUM(OSRRefT22_0x_0)</f>
        <v>71175.275658653904</v>
      </c>
      <c r="U43" s="1"/>
      <c r="V43" s="5">
        <f t="shared" si="17"/>
        <v>6.5824713797614787E-2</v>
      </c>
      <c r="W43" s="1"/>
      <c r="X43" s="1">
        <f t="shared" si="18"/>
        <v>-17010.98565865391</v>
      </c>
      <c r="Y43" s="1"/>
      <c r="Z43" s="5">
        <f t="shared" si="19"/>
        <v>-0.2390013315893019</v>
      </c>
    </row>
    <row r="44" spans="1:26" s="24" customFormat="1" hidden="1" outlineLevel="2" x14ac:dyDescent="0.25">
      <c r="A44" s="27"/>
      <c r="B44" s="11" t="str">
        <f>CONCATENATE("          ", "6111", " - ", "F.I.C.A.")</f>
        <v xml:space="preserve">          6111 - F.I.C.A.</v>
      </c>
      <c r="C44" s="11"/>
      <c r="D44" s="7">
        <v>2869.48</v>
      </c>
      <c r="E44" s="2"/>
      <c r="F44" s="6">
        <f t="shared" si="12"/>
        <v>6.3812067647712233E-3</v>
      </c>
      <c r="G44" s="2"/>
      <c r="H44" s="7">
        <v>5322.4223437500004</v>
      </c>
      <c r="I44" s="2"/>
      <c r="J44" s="6">
        <f t="shared" si="13"/>
        <v>2.3177244137563145E-2</v>
      </c>
      <c r="K44" s="2"/>
      <c r="L44" s="7">
        <f t="shared" si="14"/>
        <v>-2452.9423437500004</v>
      </c>
      <c r="M44" s="2"/>
      <c r="N44" s="6">
        <f t="shared" si="15"/>
        <v>-0.46086954122128898</v>
      </c>
      <c r="O44" s="11"/>
      <c r="P44" s="7">
        <v>11699.24</v>
      </c>
      <c r="Q44" s="2"/>
      <c r="R44" s="6">
        <f t="shared" si="16"/>
        <v>9.3249459480661146E-3</v>
      </c>
      <c r="S44" s="2"/>
      <c r="T44" s="7">
        <v>14408.207437499999</v>
      </c>
      <c r="U44" s="2"/>
      <c r="V44" s="6">
        <f t="shared" si="17"/>
        <v>1.3325078436767364E-2</v>
      </c>
      <c r="W44" s="2"/>
      <c r="X44" s="7">
        <f t="shared" si="18"/>
        <v>-2708.9674374999995</v>
      </c>
      <c r="Y44" s="2"/>
      <c r="Z44" s="6">
        <f t="shared" si="19"/>
        <v>-0.18801557718064327</v>
      </c>
    </row>
    <row r="45" spans="1:26" s="24" customFormat="1" hidden="1" outlineLevel="2" x14ac:dyDescent="0.25">
      <c r="A45" s="27"/>
      <c r="B45" s="11" t="str">
        <f>CONCATENATE("          ", "6112", " - ", "COMPENSATION INSURANCE")</f>
        <v xml:space="preserve">          6112 - COMPENSATION INSURANCE</v>
      </c>
      <c r="C45" s="11"/>
      <c r="D45" s="7">
        <v>1193.6300000000001</v>
      </c>
      <c r="E45" s="2"/>
      <c r="F45" s="6">
        <f t="shared" si="12"/>
        <v>2.6544181630936184E-3</v>
      </c>
      <c r="G45" s="2"/>
      <c r="H45" s="7">
        <v>1084.9312500000001</v>
      </c>
      <c r="I45" s="2"/>
      <c r="J45" s="6">
        <f t="shared" si="13"/>
        <v>4.7244872408987986E-3</v>
      </c>
      <c r="K45" s="2"/>
      <c r="L45" s="7">
        <f t="shared" si="14"/>
        <v>108.69875000000002</v>
      </c>
      <c r="M45" s="2"/>
      <c r="N45" s="6">
        <f t="shared" si="15"/>
        <v>0.1001895281383037</v>
      </c>
      <c r="O45" s="11"/>
      <c r="P45" s="7">
        <v>3578.56</v>
      </c>
      <c r="Q45" s="2"/>
      <c r="R45" s="6">
        <f t="shared" si="16"/>
        <v>2.8523116520313692E-3</v>
      </c>
      <c r="S45" s="2"/>
      <c r="T45" s="7">
        <v>3905.7525000000001</v>
      </c>
      <c r="U45" s="2"/>
      <c r="V45" s="6">
        <f t="shared" si="17"/>
        <v>3.6121397226448163E-3</v>
      </c>
      <c r="W45" s="2"/>
      <c r="X45" s="7">
        <f t="shared" si="18"/>
        <v>-327.19250000000011</v>
      </c>
      <c r="Y45" s="2"/>
      <c r="Z45" s="6">
        <f t="shared" si="19"/>
        <v>-8.3771949195449558E-2</v>
      </c>
    </row>
    <row r="46" spans="1:26" s="24" customFormat="1" hidden="1" outlineLevel="2" x14ac:dyDescent="0.25">
      <c r="A46" s="27"/>
      <c r="B46" s="11" t="str">
        <f>CONCATENATE("          ", "6113", " - ", "GROUP INSURANCE")</f>
        <v xml:space="preserve">          6113 - GROUP INSURANCE</v>
      </c>
      <c r="C46" s="11"/>
      <c r="D46" s="7">
        <v>4284.43</v>
      </c>
      <c r="E46" s="2"/>
      <c r="F46" s="6">
        <f t="shared" si="12"/>
        <v>9.5278007510729377E-3</v>
      </c>
      <c r="G46" s="2"/>
      <c r="H46" s="7">
        <v>7393.6538461538503</v>
      </c>
      <c r="I46" s="2"/>
      <c r="J46" s="6">
        <f t="shared" si="13"/>
        <v>3.2196715929950576E-2</v>
      </c>
      <c r="K46" s="2"/>
      <c r="L46" s="7">
        <f t="shared" si="14"/>
        <v>-3109.22384615385</v>
      </c>
      <c r="M46" s="2"/>
      <c r="N46" s="6">
        <f t="shared" si="15"/>
        <v>-0.42052602283663254</v>
      </c>
      <c r="O46" s="11"/>
      <c r="P46" s="7">
        <v>17160.22</v>
      </c>
      <c r="Q46" s="2"/>
      <c r="R46" s="6">
        <f t="shared" si="16"/>
        <v>1.3677651194173562E-2</v>
      </c>
      <c r="S46" s="2"/>
      <c r="T46" s="7">
        <v>28356.153846153898</v>
      </c>
      <c r="U46" s="2"/>
      <c r="V46" s="6">
        <f t="shared" si="17"/>
        <v>2.6224495712188645E-2</v>
      </c>
      <c r="W46" s="2"/>
      <c r="X46" s="7">
        <f t="shared" si="18"/>
        <v>-11195.933846153897</v>
      </c>
      <c r="Y46" s="2"/>
      <c r="Z46" s="6">
        <f t="shared" si="19"/>
        <v>-0.39483259637034535</v>
      </c>
    </row>
    <row r="47" spans="1:26" s="24" customFormat="1" hidden="1" outlineLevel="2" x14ac:dyDescent="0.25">
      <c r="A47" s="27"/>
      <c r="B47" s="11" t="str">
        <f>CONCATENATE("          ", "6114", " - ", "STATE UNEMPLOYMENT INSURANCE")</f>
        <v xml:space="preserve">          6114 - STATE UNEMPLOYMENT INSURANCE</v>
      </c>
      <c r="C47" s="11"/>
      <c r="D47" s="7">
        <v>209.69</v>
      </c>
      <c r="E47" s="2"/>
      <c r="F47" s="6">
        <f t="shared" si="12"/>
        <v>4.6631279761659878E-4</v>
      </c>
      <c r="G47" s="2"/>
      <c r="H47" s="7">
        <v>146.04843750000001</v>
      </c>
      <c r="I47" s="2"/>
      <c r="J47" s="6">
        <f t="shared" si="13"/>
        <v>6.3598866704406905E-4</v>
      </c>
      <c r="K47" s="2"/>
      <c r="L47" s="7">
        <f t="shared" si="14"/>
        <v>63.641562499999992</v>
      </c>
      <c r="M47" s="2"/>
      <c r="N47" s="6">
        <f t="shared" si="15"/>
        <v>0.43575654481068987</v>
      </c>
      <c r="O47" s="11"/>
      <c r="P47" s="7">
        <v>628.66</v>
      </c>
      <c r="Q47" s="2"/>
      <c r="R47" s="6">
        <f t="shared" si="16"/>
        <v>5.0107703745809495E-4</v>
      </c>
      <c r="S47" s="2"/>
      <c r="T47" s="7">
        <v>525.77437499999996</v>
      </c>
      <c r="U47" s="2"/>
      <c r="V47" s="6">
        <f t="shared" si="17"/>
        <v>4.862495780483406E-4</v>
      </c>
      <c r="W47" s="2"/>
      <c r="X47" s="7">
        <f t="shared" si="18"/>
        <v>102.885625</v>
      </c>
      <c r="Y47" s="2"/>
      <c r="Z47" s="6">
        <f t="shared" si="19"/>
        <v>0.19568398516949406</v>
      </c>
    </row>
    <row r="48" spans="1:26" s="24" customFormat="1" hidden="1" outlineLevel="2" x14ac:dyDescent="0.25">
      <c r="A48" s="27"/>
      <c r="B48" s="11" t="str">
        <f>CONCATENATE("          ", "6115", " - ", "P.E.R.S.")</f>
        <v xml:space="preserve">          6115 - P.E.R.S.</v>
      </c>
      <c r="C48" s="11"/>
      <c r="D48" s="7">
        <v>2235.89</v>
      </c>
      <c r="E48" s="2"/>
      <c r="F48" s="6">
        <f t="shared" si="12"/>
        <v>4.9722167059133814E-3</v>
      </c>
      <c r="G48" s="2"/>
      <c r="H48" s="7">
        <v>1509.03125</v>
      </c>
      <c r="I48" s="2"/>
      <c r="J48" s="6">
        <f t="shared" si="13"/>
        <v>6.5712909336352555E-3</v>
      </c>
      <c r="K48" s="2"/>
      <c r="L48" s="7">
        <f t="shared" si="14"/>
        <v>726.85874999999987</v>
      </c>
      <c r="M48" s="2"/>
      <c r="N48" s="6">
        <f t="shared" si="15"/>
        <v>0.4816724305742508</v>
      </c>
      <c r="O48" s="11"/>
      <c r="P48" s="7">
        <v>6707.66</v>
      </c>
      <c r="Q48" s="2"/>
      <c r="R48" s="6">
        <f t="shared" si="16"/>
        <v>5.3463786483570856E-3</v>
      </c>
      <c r="S48" s="2"/>
      <c r="T48" s="7">
        <v>5432.5124999999998</v>
      </c>
      <c r="U48" s="2"/>
      <c r="V48" s="6">
        <f t="shared" si="17"/>
        <v>5.024126386660316E-3</v>
      </c>
      <c r="W48" s="2"/>
      <c r="X48" s="7">
        <f t="shared" si="18"/>
        <v>1275.1475</v>
      </c>
      <c r="Y48" s="2"/>
      <c r="Z48" s="6">
        <f t="shared" si="19"/>
        <v>0.23472518470965323</v>
      </c>
    </row>
    <row r="49" spans="1:26" s="24" customFormat="1" hidden="1" outlineLevel="2" x14ac:dyDescent="0.25">
      <c r="A49" s="27"/>
      <c r="B49" s="11" t="str">
        <f>CONCATENATE("          ", "6116", " - ", "EDUCATIONAL BENEFITS")</f>
        <v xml:space="preserve">          6116 - EDUCATIONAL BENEFITS</v>
      </c>
      <c r="C49" s="11"/>
      <c r="D49" s="7"/>
      <c r="E49" s="2"/>
      <c r="F49" s="6">
        <f t="shared" si="12"/>
        <v>0</v>
      </c>
      <c r="G49" s="2"/>
      <c r="H49" s="7">
        <v>0</v>
      </c>
      <c r="I49" s="2"/>
      <c r="J49" s="6">
        <f t="shared" si="13"/>
        <v>0</v>
      </c>
      <c r="K49" s="2"/>
      <c r="L49" s="7">
        <f t="shared" si="14"/>
        <v>0</v>
      </c>
      <c r="M49" s="2"/>
      <c r="N49" s="6">
        <f t="shared" si="15"/>
        <v>0</v>
      </c>
      <c r="O49" s="11"/>
      <c r="P49" s="7"/>
      <c r="Q49" s="2"/>
      <c r="R49" s="6">
        <f t="shared" si="16"/>
        <v>0</v>
      </c>
      <c r="S49" s="2"/>
      <c r="T49" s="7">
        <v>0</v>
      </c>
      <c r="U49" s="2"/>
      <c r="V49" s="6">
        <f t="shared" si="17"/>
        <v>0</v>
      </c>
      <c r="W49" s="2"/>
      <c r="X49" s="7">
        <f t="shared" si="18"/>
        <v>0</v>
      </c>
      <c r="Y49" s="2"/>
      <c r="Z49" s="6">
        <f t="shared" si="19"/>
        <v>0</v>
      </c>
    </row>
    <row r="50" spans="1:26" s="24" customFormat="1" hidden="1" outlineLevel="2" x14ac:dyDescent="0.25">
      <c r="A50" s="27"/>
      <c r="B50" s="11" t="str">
        <f>CONCATENATE("          ", "6118", " - ", "VACATION")</f>
        <v xml:space="preserve">          6118 - VACATION</v>
      </c>
      <c r="C50" s="11"/>
      <c r="D50" s="7">
        <v>2438.8200000000002</v>
      </c>
      <c r="E50" s="2"/>
      <c r="F50" s="6">
        <f t="shared" si="12"/>
        <v>5.4234964809161783E-3</v>
      </c>
      <c r="G50" s="2"/>
      <c r="H50" s="7">
        <v>1392.34375</v>
      </c>
      <c r="I50" s="2"/>
      <c r="J50" s="6">
        <f t="shared" si="13"/>
        <v>6.0631586396098242E-3</v>
      </c>
      <c r="K50" s="2"/>
      <c r="L50" s="7">
        <f t="shared" si="14"/>
        <v>1046.4762500000002</v>
      </c>
      <c r="M50" s="2"/>
      <c r="N50" s="6">
        <f t="shared" si="15"/>
        <v>0.75159331163730236</v>
      </c>
      <c r="O50" s="11"/>
      <c r="P50" s="7">
        <v>7185.31</v>
      </c>
      <c r="Q50" s="2"/>
      <c r="R50" s="6">
        <f t="shared" si="16"/>
        <v>5.7270923042948892E-3</v>
      </c>
      <c r="S50" s="2"/>
      <c r="T50" s="7">
        <v>5012.4375</v>
      </c>
      <c r="U50" s="2"/>
      <c r="V50" s="6">
        <f t="shared" si="17"/>
        <v>4.6356302917362211E-3</v>
      </c>
      <c r="W50" s="2"/>
      <c r="X50" s="7">
        <f t="shared" si="18"/>
        <v>2172.8725000000004</v>
      </c>
      <c r="Y50" s="2"/>
      <c r="Z50" s="6">
        <f t="shared" si="19"/>
        <v>0.43349617825658682</v>
      </c>
    </row>
    <row r="51" spans="1:26" s="24" customFormat="1" hidden="1" outlineLevel="2" x14ac:dyDescent="0.25">
      <c r="A51" s="27"/>
      <c r="B51" s="11" t="str">
        <f>CONCATENATE("          ", "6119", " - ", "SICK LEAVE")</f>
        <v xml:space="preserve">          6119 - SICK LEAVE</v>
      </c>
      <c r="C51" s="11"/>
      <c r="D51" s="7">
        <v>1599.6</v>
      </c>
      <c r="E51" s="2"/>
      <c r="F51" s="6">
        <f t="shared" si="12"/>
        <v>3.557222333289672E-3</v>
      </c>
      <c r="G51" s="2"/>
      <c r="H51" s="7">
        <v>2787.34375</v>
      </c>
      <c r="I51" s="2"/>
      <c r="J51" s="6">
        <f t="shared" si="13"/>
        <v>1.2137884297160773E-2</v>
      </c>
      <c r="K51" s="2"/>
      <c r="L51" s="7">
        <f t="shared" si="14"/>
        <v>-1187.7437500000001</v>
      </c>
      <c r="M51" s="2"/>
      <c r="N51" s="6">
        <f t="shared" si="15"/>
        <v>-0.42612029822299458</v>
      </c>
      <c r="O51" s="11"/>
      <c r="P51" s="7">
        <v>4798.8</v>
      </c>
      <c r="Q51" s="2"/>
      <c r="R51" s="6">
        <f t="shared" si="16"/>
        <v>3.8249109015269086E-3</v>
      </c>
      <c r="S51" s="2"/>
      <c r="T51" s="7">
        <v>10034.4375</v>
      </c>
      <c r="U51" s="2"/>
      <c r="V51" s="6">
        <f t="shared" si="17"/>
        <v>9.2801042278400237E-3</v>
      </c>
      <c r="W51" s="2"/>
      <c r="X51" s="7">
        <f t="shared" si="18"/>
        <v>-5235.6374999999998</v>
      </c>
      <c r="Y51" s="2"/>
      <c r="Z51" s="6">
        <f t="shared" si="19"/>
        <v>-0.52176691518582874</v>
      </c>
    </row>
    <row r="52" spans="1:26" s="24" customFormat="1" hidden="1" outlineLevel="2" x14ac:dyDescent="0.25">
      <c r="A52" s="27"/>
      <c r="B52" s="11" t="str">
        <f>CONCATENATE("          ", "6156", " - ", "EMPLOYEE MEALS")</f>
        <v xml:space="preserve">          6156 - EMPLOYEE MEALS</v>
      </c>
      <c r="C52" s="11"/>
      <c r="D52" s="7">
        <v>935.3</v>
      </c>
      <c r="E52" s="2"/>
      <c r="F52" s="6">
        <f t="shared" si="12"/>
        <v>2.0799387648948679E-3</v>
      </c>
      <c r="G52" s="2"/>
      <c r="H52" s="7">
        <v>875</v>
      </c>
      <c r="I52" s="2"/>
      <c r="J52" s="6">
        <f t="shared" si="13"/>
        <v>3.8103117923706672E-3</v>
      </c>
      <c r="K52" s="2"/>
      <c r="L52" s="7">
        <f t="shared" si="14"/>
        <v>60.299999999999955</v>
      </c>
      <c r="M52" s="2"/>
      <c r="N52" s="6">
        <f t="shared" si="15"/>
        <v>6.8914285714285664E-2</v>
      </c>
      <c r="O52" s="11"/>
      <c r="P52" s="7">
        <v>2405.84</v>
      </c>
      <c r="Q52" s="2"/>
      <c r="R52" s="6">
        <f t="shared" si="16"/>
        <v>1.9175884894826827E-3</v>
      </c>
      <c r="S52" s="2"/>
      <c r="T52" s="7">
        <v>3500</v>
      </c>
      <c r="U52" s="2"/>
      <c r="V52" s="6">
        <f t="shared" si="17"/>
        <v>3.2368894417290537E-3</v>
      </c>
      <c r="W52" s="2"/>
      <c r="X52" s="7">
        <f t="shared" si="18"/>
        <v>-1094.1599999999999</v>
      </c>
      <c r="Y52" s="2"/>
      <c r="Z52" s="6">
        <f t="shared" si="19"/>
        <v>-0.31261714285714282</v>
      </c>
    </row>
    <row r="53" spans="1:26" s="28" customFormat="1" outlineLevel="1" collapsed="1" x14ac:dyDescent="0.25">
      <c r="A53" s="29"/>
      <c r="B53" s="14" t="str">
        <f>CONCATENATE("     ","*Payroll                                          ")</f>
        <v xml:space="preserve">     *Payroll                                          </v>
      </c>
      <c r="C53" s="14"/>
      <c r="D53" s="1">
        <f>SUM(OSRRefD22_1x_0)</f>
        <v>57243.619999999995</v>
      </c>
      <c r="E53" s="1"/>
      <c r="F53" s="5">
        <f t="shared" ref="F53:F63" si="20">IF(D$12=0,0,D53/D$12)</f>
        <v>0.12729950206448321</v>
      </c>
      <c r="G53" s="1"/>
      <c r="H53" s="1">
        <f>SUM(OSRRefH22_1x_0)</f>
        <v>66402.1875</v>
      </c>
      <c r="I53" s="1"/>
      <c r="J53" s="5">
        <f t="shared" ref="J53:J63" si="21">IF(H$12=0,0,H53/H$12)</f>
        <v>0.28915775779480929</v>
      </c>
      <c r="K53" s="1"/>
      <c r="L53" s="1">
        <f t="shared" ref="L53:L63" si="22">+D53-H53</f>
        <v>-9158.5675000000047</v>
      </c>
      <c r="M53" s="1"/>
      <c r="N53" s="5">
        <f t="shared" ref="N53:N63" si="23">IF(H53=0,0,L53/H53)</f>
        <v>-0.1379256895715974</v>
      </c>
      <c r="O53" s="14"/>
      <c r="P53" s="1">
        <f>SUM(OSRRefP22_1x_0)</f>
        <v>225165.81</v>
      </c>
      <c r="Q53" s="1"/>
      <c r="R53" s="5">
        <f t="shared" ref="R53:R63" si="24">IF(P$12=0,0,P53/P$12)</f>
        <v>0.17946969269820301</v>
      </c>
      <c r="S53" s="1"/>
      <c r="T53" s="1">
        <f>SUM(OSRRefT22_1x_0)</f>
        <v>239047.875</v>
      </c>
      <c r="U53" s="1"/>
      <c r="V53" s="5">
        <f t="shared" ref="V53:V63" si="25">IF(T$12=0,0,T53/T$12)</f>
        <v>0.22107758361579047</v>
      </c>
      <c r="W53" s="1"/>
      <c r="X53" s="1">
        <f t="shared" ref="X53:X63" si="26">+P53-T53</f>
        <v>-13882.065000000002</v>
      </c>
      <c r="Y53" s="1"/>
      <c r="Z53" s="5">
        <f t="shared" ref="Z53:Z63" si="27">IF(T53=0,0,X53/T53)</f>
        <v>-5.8072321287106203E-2</v>
      </c>
    </row>
    <row r="54" spans="1:26" s="24" customFormat="1" hidden="1" outlineLevel="2" x14ac:dyDescent="0.25">
      <c r="A54" s="27"/>
      <c r="B54" s="11" t="str">
        <f>CONCATENATE("          ", "6001", " - ", "ADMINISTRATIVE SALARIES")</f>
        <v xml:space="preserve">          6001 - ADMINISTRATIVE SALARIES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25">
      <c r="A55" s="27"/>
      <c r="B55" s="11" t="str">
        <f>CONCATENATE("          ", "6002", " - ", "STAFF SALARIES")</f>
        <v xml:space="preserve">          6002 - STAFF SALARIES</v>
      </c>
      <c r="C55" s="11"/>
      <c r="D55" s="7">
        <v>14934.13</v>
      </c>
      <c r="E55" s="2"/>
      <c r="F55" s="6">
        <f t="shared" si="20"/>
        <v>3.3210815681577452E-2</v>
      </c>
      <c r="G55" s="2"/>
      <c r="H55" s="7">
        <v>15792.1875</v>
      </c>
      <c r="I55" s="2"/>
      <c r="J55" s="6">
        <f t="shared" si="21"/>
        <v>6.8769323724089879E-2</v>
      </c>
      <c r="K55" s="2"/>
      <c r="L55" s="7">
        <f t="shared" si="22"/>
        <v>-858.0575000000008</v>
      </c>
      <c r="M55" s="2"/>
      <c r="N55" s="6">
        <f t="shared" si="23"/>
        <v>-5.4334302958345751E-2</v>
      </c>
      <c r="O55" s="11"/>
      <c r="P55" s="7">
        <v>62989.16</v>
      </c>
      <c r="Q55" s="2"/>
      <c r="R55" s="6">
        <f t="shared" si="24"/>
        <v>5.0205869126036237E-2</v>
      </c>
      <c r="S55" s="2"/>
      <c r="T55" s="7">
        <v>56851.875</v>
      </c>
      <c r="U55" s="2"/>
      <c r="V55" s="6">
        <f t="shared" si="25"/>
        <v>5.2578066837142841E-2</v>
      </c>
      <c r="W55" s="2"/>
      <c r="X55" s="7">
        <f t="shared" si="26"/>
        <v>6137.2850000000035</v>
      </c>
      <c r="Y55" s="2"/>
      <c r="Z55" s="6">
        <f t="shared" si="27"/>
        <v>0.10795220034519536</v>
      </c>
    </row>
    <row r="56" spans="1:26" s="24" customFormat="1" hidden="1" outlineLevel="2" x14ac:dyDescent="0.25">
      <c r="A56" s="27"/>
      <c r="B56" s="11" t="str">
        <f>CONCATENATE("          ", "6003", " - ", "STAFF HOURLY-9 MONTH")</f>
        <v xml:space="preserve">          6003 - STAFF HOURLY-9 MONTH</v>
      </c>
      <c r="C56" s="11"/>
      <c r="D56" s="7"/>
      <c r="E56" s="2"/>
      <c r="F56" s="6">
        <f t="shared" si="20"/>
        <v>0</v>
      </c>
      <c r="G56" s="2"/>
      <c r="H56" s="7">
        <v>0</v>
      </c>
      <c r="I56" s="2"/>
      <c r="J56" s="6">
        <f t="shared" si="21"/>
        <v>0</v>
      </c>
      <c r="K56" s="2"/>
      <c r="L56" s="7">
        <f t="shared" si="22"/>
        <v>0</v>
      </c>
      <c r="M56" s="2"/>
      <c r="N56" s="6">
        <f t="shared" si="23"/>
        <v>0</v>
      </c>
      <c r="O56" s="11"/>
      <c r="P56" s="7"/>
      <c r="Q56" s="2"/>
      <c r="R56" s="6">
        <f t="shared" si="24"/>
        <v>0</v>
      </c>
      <c r="S56" s="2"/>
      <c r="T56" s="7">
        <v>0</v>
      </c>
      <c r="U56" s="2"/>
      <c r="V56" s="6">
        <f t="shared" si="25"/>
        <v>0</v>
      </c>
      <c r="W56" s="2"/>
      <c r="X56" s="7">
        <f t="shared" si="26"/>
        <v>0</v>
      </c>
      <c r="Y56" s="2"/>
      <c r="Z56" s="6">
        <f t="shared" si="27"/>
        <v>0</v>
      </c>
    </row>
    <row r="57" spans="1:26" s="24" customFormat="1" hidden="1" outlineLevel="2" x14ac:dyDescent="0.25">
      <c r="A57" s="27"/>
      <c r="B57" s="11" t="str">
        <f>CONCATENATE("          ", "6004", " - ", "STAFF HOURLY")</f>
        <v xml:space="preserve">          6004 - STAFF HOURLY</v>
      </c>
      <c r="C57" s="11"/>
      <c r="D57" s="7">
        <v>10729.89</v>
      </c>
      <c r="E57" s="2"/>
      <c r="F57" s="6">
        <f t="shared" si="20"/>
        <v>2.3861343049350787E-2</v>
      </c>
      <c r="G57" s="2"/>
      <c r="H57" s="7">
        <v>16110</v>
      </c>
      <c r="I57" s="2"/>
      <c r="J57" s="6">
        <f t="shared" si="21"/>
        <v>7.0153283400104516E-2</v>
      </c>
      <c r="K57" s="2"/>
      <c r="L57" s="7">
        <f t="shared" si="22"/>
        <v>-5380.1100000000006</v>
      </c>
      <c r="M57" s="2"/>
      <c r="N57" s="6">
        <f t="shared" si="23"/>
        <v>-0.33396089385474864</v>
      </c>
      <c r="O57" s="11"/>
      <c r="P57" s="7">
        <v>35727.01</v>
      </c>
      <c r="Q57" s="2"/>
      <c r="R57" s="6">
        <f t="shared" si="24"/>
        <v>2.8476417026748538E-2</v>
      </c>
      <c r="S57" s="2"/>
      <c r="T57" s="7">
        <v>57996</v>
      </c>
      <c r="U57" s="2"/>
      <c r="V57" s="6">
        <f t="shared" si="25"/>
        <v>5.3636182875005205E-2</v>
      </c>
      <c r="W57" s="2"/>
      <c r="X57" s="7">
        <f t="shared" si="26"/>
        <v>-22268.989999999998</v>
      </c>
      <c r="Y57" s="2"/>
      <c r="Z57" s="6">
        <f t="shared" si="27"/>
        <v>-0.38397458445410027</v>
      </c>
    </row>
    <row r="58" spans="1:26" s="24" customFormat="1" hidden="1" outlineLevel="2" x14ac:dyDescent="0.25">
      <c r="A58" s="27"/>
      <c r="B58" s="11" t="str">
        <f>CONCATENATE("          ", "6005", " - ", "TEMPORARY WAGES-HOURLY")</f>
        <v xml:space="preserve">          6005 - TEMPORARY WAGES-HOURLY</v>
      </c>
      <c r="C58" s="11"/>
      <c r="D58" s="7">
        <v>3627.62</v>
      </c>
      <c r="E58" s="2"/>
      <c r="F58" s="6">
        <f t="shared" si="20"/>
        <v>8.0671735938286325E-3</v>
      </c>
      <c r="G58" s="2"/>
      <c r="H58" s="7">
        <v>0</v>
      </c>
      <c r="I58" s="2"/>
      <c r="J58" s="6">
        <f t="shared" si="21"/>
        <v>0</v>
      </c>
      <c r="K58" s="2"/>
      <c r="L58" s="7">
        <f t="shared" si="22"/>
        <v>3627.62</v>
      </c>
      <c r="M58" s="2"/>
      <c r="N58" s="6">
        <f t="shared" si="23"/>
        <v>0</v>
      </c>
      <c r="O58" s="11"/>
      <c r="P58" s="7">
        <v>11442.78</v>
      </c>
      <c r="Q58" s="2"/>
      <c r="R58" s="6">
        <f t="shared" si="24"/>
        <v>9.1205330427969657E-3</v>
      </c>
      <c r="S58" s="2"/>
      <c r="T58" s="7">
        <v>0</v>
      </c>
      <c r="U58" s="2"/>
      <c r="V58" s="6">
        <f t="shared" si="25"/>
        <v>0</v>
      </c>
      <c r="W58" s="2"/>
      <c r="X58" s="7">
        <f t="shared" si="26"/>
        <v>11442.78</v>
      </c>
      <c r="Y58" s="2"/>
      <c r="Z58" s="6">
        <f t="shared" si="27"/>
        <v>0</v>
      </c>
    </row>
    <row r="59" spans="1:26" s="24" customFormat="1" hidden="1" outlineLevel="2" x14ac:dyDescent="0.25">
      <c r="A59" s="27"/>
      <c r="B59" s="11" t="str">
        <f>CONCATENATE("          ", "6006", " - ", "TEMPORARY PART TIME")</f>
        <v xml:space="preserve">          6006 - TEMPORARY PART TIME</v>
      </c>
      <c r="C59" s="11"/>
      <c r="D59" s="7"/>
      <c r="E59" s="2"/>
      <c r="F59" s="6">
        <f t="shared" si="20"/>
        <v>0</v>
      </c>
      <c r="G59" s="2"/>
      <c r="H59" s="7">
        <v>0</v>
      </c>
      <c r="I59" s="2"/>
      <c r="J59" s="6">
        <f t="shared" si="21"/>
        <v>0</v>
      </c>
      <c r="K59" s="2"/>
      <c r="L59" s="7">
        <f t="shared" si="22"/>
        <v>0</v>
      </c>
      <c r="M59" s="2"/>
      <c r="N59" s="6">
        <f t="shared" si="23"/>
        <v>0</v>
      </c>
      <c r="O59" s="11"/>
      <c r="P59" s="7"/>
      <c r="Q59" s="2"/>
      <c r="R59" s="6">
        <f t="shared" si="24"/>
        <v>0</v>
      </c>
      <c r="S59" s="2"/>
      <c r="T59" s="7">
        <v>0</v>
      </c>
      <c r="U59" s="2"/>
      <c r="V59" s="6">
        <f t="shared" si="25"/>
        <v>0</v>
      </c>
      <c r="W59" s="2"/>
      <c r="X59" s="7">
        <f t="shared" si="26"/>
        <v>0</v>
      </c>
      <c r="Y59" s="2"/>
      <c r="Z59" s="6">
        <f t="shared" si="27"/>
        <v>0</v>
      </c>
    </row>
    <row r="60" spans="1:26" s="24" customFormat="1" hidden="1" outlineLevel="2" x14ac:dyDescent="0.25">
      <c r="A60" s="27"/>
      <c r="B60" s="11" t="str">
        <f>CONCATENATE("          ", "6007", " - ", "STUDENT HOURLY")</f>
        <v xml:space="preserve">          6007 - STUDENT HOURLY</v>
      </c>
      <c r="C60" s="11"/>
      <c r="D60" s="7">
        <v>20928.32</v>
      </c>
      <c r="E60" s="2"/>
      <c r="F60" s="6">
        <f t="shared" si="20"/>
        <v>4.6540814767587466E-2</v>
      </c>
      <c r="G60" s="2"/>
      <c r="H60" s="7">
        <v>34500</v>
      </c>
      <c r="I60" s="2"/>
      <c r="J60" s="6">
        <f t="shared" si="21"/>
        <v>0.15023515067061488</v>
      </c>
      <c r="K60" s="2"/>
      <c r="L60" s="7">
        <f t="shared" si="22"/>
        <v>-13571.68</v>
      </c>
      <c r="M60" s="2"/>
      <c r="N60" s="6">
        <f t="shared" si="23"/>
        <v>-0.39338202898550728</v>
      </c>
      <c r="O60" s="11"/>
      <c r="P60" s="7">
        <v>85921.99</v>
      </c>
      <c r="Q60" s="2"/>
      <c r="R60" s="6">
        <f t="shared" si="24"/>
        <v>6.8484612034651587E-2</v>
      </c>
      <c r="S60" s="2"/>
      <c r="T60" s="7">
        <v>62100</v>
      </c>
      <c r="U60" s="2"/>
      <c r="V60" s="6">
        <f t="shared" si="25"/>
        <v>5.7431666951821211E-2</v>
      </c>
      <c r="W60" s="2"/>
      <c r="X60" s="7">
        <f t="shared" si="26"/>
        <v>23821.990000000005</v>
      </c>
      <c r="Y60" s="2"/>
      <c r="Z60" s="6">
        <f t="shared" si="27"/>
        <v>0.38360692431562005</v>
      </c>
    </row>
    <row r="61" spans="1:26" s="24" customFormat="1" hidden="1" outlineLevel="2" x14ac:dyDescent="0.25">
      <c r="A61" s="27"/>
      <c r="B61" s="11" t="str">
        <f>CONCATENATE("          ", "6008", " - ", "STUDENT HOURLY-FICA EXEMPT")</f>
        <v xml:space="preserve">          6008 - STUDENT HOURLY-FICA EXEMPT</v>
      </c>
      <c r="C61" s="11"/>
      <c r="D61" s="7">
        <v>7023.66</v>
      </c>
      <c r="E61" s="2"/>
      <c r="F61" s="6">
        <f t="shared" si="20"/>
        <v>1.5619354972138871E-2</v>
      </c>
      <c r="G61" s="2"/>
      <c r="H61" s="7">
        <v>0</v>
      </c>
      <c r="I61" s="2"/>
      <c r="J61" s="6">
        <f t="shared" si="21"/>
        <v>0</v>
      </c>
      <c r="K61" s="2"/>
      <c r="L61" s="7">
        <f t="shared" si="22"/>
        <v>7023.66</v>
      </c>
      <c r="M61" s="2"/>
      <c r="N61" s="6">
        <f t="shared" si="23"/>
        <v>0</v>
      </c>
      <c r="O61" s="11"/>
      <c r="P61" s="7">
        <v>29084.87</v>
      </c>
      <c r="Q61" s="2"/>
      <c r="R61" s="6">
        <f t="shared" si="24"/>
        <v>2.3182261467969686E-2</v>
      </c>
      <c r="S61" s="2"/>
      <c r="T61" s="7">
        <v>62100</v>
      </c>
      <c r="U61" s="2"/>
      <c r="V61" s="6">
        <f t="shared" si="25"/>
        <v>5.7431666951821211E-2</v>
      </c>
      <c r="W61" s="2"/>
      <c r="X61" s="7">
        <f t="shared" si="26"/>
        <v>-33015.130000000005</v>
      </c>
      <c r="Y61" s="2"/>
      <c r="Z61" s="6">
        <f t="shared" si="27"/>
        <v>-0.53164460547504033</v>
      </c>
    </row>
    <row r="62" spans="1:26" s="24" customFormat="1" hidden="1" outlineLevel="2" x14ac:dyDescent="0.25">
      <c r="A62" s="27"/>
      <c r="B62" s="11" t="str">
        <f>CONCATENATE("          ", "6009", " - ", "TEMPORARY-SEASONAL")</f>
        <v xml:space="preserve">          6009 - TEMPORARY-SEASONAL</v>
      </c>
      <c r="C62" s="11"/>
      <c r="D62" s="7"/>
      <c r="E62" s="2"/>
      <c r="F62" s="6">
        <f t="shared" si="20"/>
        <v>0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0</v>
      </c>
      <c r="M62" s="2"/>
      <c r="N62" s="6">
        <f t="shared" si="23"/>
        <v>0</v>
      </c>
      <c r="O62" s="11"/>
      <c r="P62" s="7"/>
      <c r="Q62" s="2"/>
      <c r="R62" s="6">
        <f t="shared" si="24"/>
        <v>0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0</v>
      </c>
      <c r="Y62" s="2"/>
      <c r="Z62" s="6">
        <f t="shared" si="27"/>
        <v>0</v>
      </c>
    </row>
    <row r="63" spans="1:26" s="24" customFormat="1" hidden="1" outlineLevel="2" x14ac:dyDescent="0.25">
      <c r="A63" s="27"/>
      <c r="B63" s="11" t="str">
        <f>CONCATENATE("          ", "6010", " - ", "GRATUITY")</f>
        <v xml:space="preserve">          6010 - GRATUITY</v>
      </c>
      <c r="C63" s="11"/>
      <c r="D63" s="7"/>
      <c r="E63" s="2"/>
      <c r="F63" s="6">
        <f t="shared" si="20"/>
        <v>0</v>
      </c>
      <c r="G63" s="2"/>
      <c r="H63" s="7">
        <v>0</v>
      </c>
      <c r="I63" s="2"/>
      <c r="J63" s="6">
        <f t="shared" si="21"/>
        <v>0</v>
      </c>
      <c r="K63" s="2"/>
      <c r="L63" s="7">
        <f t="shared" si="22"/>
        <v>0</v>
      </c>
      <c r="M63" s="2"/>
      <c r="N63" s="6">
        <f t="shared" si="23"/>
        <v>0</v>
      </c>
      <c r="O63" s="11"/>
      <c r="P63" s="7"/>
      <c r="Q63" s="2"/>
      <c r="R63" s="6">
        <f t="shared" si="24"/>
        <v>0</v>
      </c>
      <c r="S63" s="2"/>
      <c r="T63" s="7">
        <v>0</v>
      </c>
      <c r="U63" s="2"/>
      <c r="V63" s="6">
        <f t="shared" si="25"/>
        <v>0</v>
      </c>
      <c r="W63" s="2"/>
      <c r="X63" s="7">
        <f t="shared" si="26"/>
        <v>0</v>
      </c>
      <c r="Y63" s="2"/>
      <c r="Z63" s="6">
        <f t="shared" si="27"/>
        <v>0</v>
      </c>
    </row>
    <row r="64" spans="1:26" s="28" customFormat="1" outlineLevel="1" collapsed="1" x14ac:dyDescent="0.25">
      <c r="A64" s="29"/>
      <c r="B64" s="14" t="str">
        <f>CONCATENATE("     ","Advertising/Promo                                 ")</f>
        <v xml:space="preserve">     Advertising/Promo                                 </v>
      </c>
      <c r="C64" s="14"/>
      <c r="D64" s="1">
        <f>SUM(OSRRefD22_2x_0)</f>
        <v>303.05</v>
      </c>
      <c r="E64" s="1"/>
      <c r="F64" s="5">
        <f t="shared" ref="F64:F76" si="28">IF(D$12=0,0,D64/D$12)</f>
        <v>6.7392862472082722E-4</v>
      </c>
      <c r="G64" s="1"/>
      <c r="H64" s="1">
        <f>SUM(OSRRefH22_2x_0)</f>
        <v>50</v>
      </c>
      <c r="I64" s="1"/>
      <c r="J64" s="5">
        <f t="shared" ref="J64:J76" si="29">IF(H$12=0,0,H64/H$12)</f>
        <v>2.1773210242118099E-4</v>
      </c>
      <c r="K64" s="1"/>
      <c r="L64" s="1">
        <f t="shared" ref="L64:L76" si="30">+D64-H64</f>
        <v>253.05</v>
      </c>
      <c r="M64" s="1"/>
      <c r="N64" s="5">
        <f t="shared" ref="N64:N76" si="31">IF(H64=0,0,L64/H64)</f>
        <v>5.0609999999999999</v>
      </c>
      <c r="O64" s="14"/>
      <c r="P64" s="1">
        <f>SUM(OSRRefP22_2x_0)</f>
        <v>1680.06</v>
      </c>
      <c r="Q64" s="1"/>
      <c r="R64" s="5">
        <f t="shared" ref="R64:R76" si="32">IF(P$12=0,0,P64/P$12)</f>
        <v>1.3391014022712548E-3</v>
      </c>
      <c r="S64" s="1"/>
      <c r="T64" s="1">
        <f>SUM(OSRRefT22_2x_0)</f>
        <v>1600</v>
      </c>
      <c r="U64" s="1"/>
      <c r="V64" s="5">
        <f t="shared" ref="V64:V76" si="33">IF(T$12=0,0,T64/T$12)</f>
        <v>1.4797208876475676E-3</v>
      </c>
      <c r="W64" s="1"/>
      <c r="X64" s="1">
        <f t="shared" ref="X64:X76" si="34">+P64-T64</f>
        <v>80.059999999999945</v>
      </c>
      <c r="Y64" s="1"/>
      <c r="Z64" s="5">
        <f t="shared" ref="Z64:Z76" si="35">IF(T64=0,0,X64/T64)</f>
        <v>5.0037499999999964E-2</v>
      </c>
    </row>
    <row r="65" spans="1:26" s="24" customFormat="1" hidden="1" outlineLevel="2" x14ac:dyDescent="0.25">
      <c r="A65" s="27"/>
      <c r="B65" s="11" t="str">
        <f>CONCATENATE("          ", "6362", " - ", "ADVERTISING EXPENSE")</f>
        <v xml:space="preserve">          6362 - ADVERTISING EXPENSE</v>
      </c>
      <c r="C65" s="11"/>
      <c r="D65" s="7">
        <v>303.05</v>
      </c>
      <c r="E65" s="2"/>
      <c r="F65" s="6">
        <f t="shared" si="28"/>
        <v>6.7392862472082722E-4</v>
      </c>
      <c r="G65" s="2"/>
      <c r="H65" s="7">
        <v>50</v>
      </c>
      <c r="I65" s="2"/>
      <c r="J65" s="6">
        <f t="shared" si="29"/>
        <v>2.1773210242118099E-4</v>
      </c>
      <c r="K65" s="2"/>
      <c r="L65" s="7">
        <f t="shared" si="30"/>
        <v>253.05</v>
      </c>
      <c r="M65" s="2"/>
      <c r="N65" s="6">
        <f t="shared" si="31"/>
        <v>5.0609999999999999</v>
      </c>
      <c r="O65" s="11"/>
      <c r="P65" s="7">
        <v>1680.06</v>
      </c>
      <c r="Q65" s="2"/>
      <c r="R65" s="6">
        <f t="shared" si="32"/>
        <v>1.3391014022712548E-3</v>
      </c>
      <c r="S65" s="2"/>
      <c r="T65" s="7">
        <v>1600</v>
      </c>
      <c r="U65" s="2"/>
      <c r="V65" s="6">
        <f t="shared" si="33"/>
        <v>1.4797208876475676E-3</v>
      </c>
      <c r="W65" s="2"/>
      <c r="X65" s="7">
        <f t="shared" si="34"/>
        <v>80.059999999999945</v>
      </c>
      <c r="Y65" s="2"/>
      <c r="Z65" s="6">
        <f t="shared" si="35"/>
        <v>5.0037499999999964E-2</v>
      </c>
    </row>
    <row r="66" spans="1:26" s="28" customFormat="1" outlineLevel="1" collapsed="1" x14ac:dyDescent="0.25">
      <c r="A66" s="29"/>
      <c r="B66" s="14" t="str">
        <f>CONCATENATE("     ","Bad Debts/Over/Short                              ")</f>
        <v xml:space="preserve">     Bad Debts/Over/Short                              </v>
      </c>
      <c r="C66" s="14"/>
      <c r="D66" s="1">
        <f>SUM(OSRRefD22_3x_0)</f>
        <v>0</v>
      </c>
      <c r="E66" s="1"/>
      <c r="F66" s="5">
        <f t="shared" si="28"/>
        <v>0</v>
      </c>
      <c r="G66" s="1"/>
      <c r="H66" s="1">
        <f>SUM(OSRRefH22_3x_0)</f>
        <v>0</v>
      </c>
      <c r="I66" s="1"/>
      <c r="J66" s="5">
        <f t="shared" si="29"/>
        <v>0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SUM(OSRRefP22_3x_0)</f>
        <v>0</v>
      </c>
      <c r="Q66" s="1"/>
      <c r="R66" s="5">
        <f t="shared" si="32"/>
        <v>0</v>
      </c>
      <c r="S66" s="1"/>
      <c r="T66" s="1">
        <f>SUM(OSRRefT22_3x_0)</f>
        <v>0</v>
      </c>
      <c r="U66" s="1"/>
      <c r="V66" s="5">
        <f t="shared" si="33"/>
        <v>0</v>
      </c>
      <c r="W66" s="1"/>
      <c r="X66" s="1">
        <f t="shared" si="34"/>
        <v>0</v>
      </c>
      <c r="Y66" s="1"/>
      <c r="Z66" s="5">
        <f t="shared" si="35"/>
        <v>0</v>
      </c>
    </row>
    <row r="67" spans="1:26" s="24" customFormat="1" hidden="1" outlineLevel="2" x14ac:dyDescent="0.25">
      <c r="A67" s="27"/>
      <c r="B67" s="11" t="str">
        <f>CONCATENATE("          ", "6272", " - ", "CASH (OVER/SHORT)")</f>
        <v xml:space="preserve">          6272 - CASH (OVER/SHORT)</v>
      </c>
      <c r="C67" s="11"/>
      <c r="D67" s="7"/>
      <c r="E67" s="2"/>
      <c r="F67" s="6">
        <f t="shared" si="28"/>
        <v>0</v>
      </c>
      <c r="G67" s="2"/>
      <c r="H67" s="7">
        <v>0</v>
      </c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/>
      <c r="Q67" s="2"/>
      <c r="R67" s="6">
        <f t="shared" si="32"/>
        <v>0</v>
      </c>
      <c r="S67" s="2"/>
      <c r="T67" s="7">
        <v>0</v>
      </c>
      <c r="U67" s="2"/>
      <c r="V67" s="6">
        <f t="shared" si="33"/>
        <v>0</v>
      </c>
      <c r="W67" s="2"/>
      <c r="X67" s="7">
        <f t="shared" si="34"/>
        <v>0</v>
      </c>
      <c r="Y67" s="2"/>
      <c r="Z67" s="6">
        <f t="shared" si="35"/>
        <v>0</v>
      </c>
    </row>
    <row r="68" spans="1:26" s="28" customFormat="1" outlineLevel="1" collapsed="1" x14ac:dyDescent="0.25">
      <c r="A68" s="29"/>
      <c r="B68" s="14" t="str">
        <f>CONCATENATE("     ","Bank/card Fees                                    ")</f>
        <v xml:space="preserve">     Bank/card Fees                                    </v>
      </c>
      <c r="C68" s="14"/>
      <c r="D68" s="1">
        <f>SUM(OSRRefD22_4x_0)</f>
        <v>0</v>
      </c>
      <c r="E68" s="1"/>
      <c r="F68" s="5">
        <f t="shared" si="28"/>
        <v>0</v>
      </c>
      <c r="G68" s="1"/>
      <c r="H68" s="1">
        <f>SUM(OSRRefH22_4x_0)</f>
        <v>0</v>
      </c>
      <c r="I68" s="1"/>
      <c r="J68" s="5">
        <f t="shared" si="29"/>
        <v>0</v>
      </c>
      <c r="K68" s="1"/>
      <c r="L68" s="1">
        <f t="shared" si="30"/>
        <v>0</v>
      </c>
      <c r="M68" s="1"/>
      <c r="N68" s="5">
        <f t="shared" si="31"/>
        <v>0</v>
      </c>
      <c r="O68" s="14"/>
      <c r="P68" s="1">
        <f>SUM(OSRRefP22_4x_0)</f>
        <v>0</v>
      </c>
      <c r="Q68" s="1"/>
      <c r="R68" s="5">
        <f t="shared" si="32"/>
        <v>0</v>
      </c>
      <c r="S68" s="1"/>
      <c r="T68" s="1">
        <f>SUM(OSRRefT22_4x_0)</f>
        <v>0</v>
      </c>
      <c r="U68" s="1"/>
      <c r="V68" s="5">
        <f t="shared" si="33"/>
        <v>0</v>
      </c>
      <c r="W68" s="1"/>
      <c r="X68" s="1">
        <f t="shared" si="34"/>
        <v>0</v>
      </c>
      <c r="Y68" s="1"/>
      <c r="Z68" s="5">
        <f t="shared" si="35"/>
        <v>0</v>
      </c>
    </row>
    <row r="69" spans="1:26" s="24" customFormat="1" hidden="1" outlineLevel="2" x14ac:dyDescent="0.25">
      <c r="A69" s="27"/>
      <c r="B69" s="11" t="str">
        <f>CONCATENATE("          ", "6381", " - ", "BANK/CREDIT CARD FEES")</f>
        <v xml:space="preserve">          6381 - BANK/CREDIT CARD FEES</v>
      </c>
      <c r="C69" s="11"/>
      <c r="D69" s="7"/>
      <c r="E69" s="2"/>
      <c r="F69" s="6">
        <f t="shared" si="28"/>
        <v>0</v>
      </c>
      <c r="G69" s="2"/>
      <c r="H69" s="7">
        <v>0</v>
      </c>
      <c r="I69" s="2"/>
      <c r="J69" s="6">
        <f t="shared" si="29"/>
        <v>0</v>
      </c>
      <c r="K69" s="2"/>
      <c r="L69" s="7">
        <f t="shared" si="30"/>
        <v>0</v>
      </c>
      <c r="M69" s="2"/>
      <c r="N69" s="6">
        <f t="shared" si="31"/>
        <v>0</v>
      </c>
      <c r="O69" s="11"/>
      <c r="P69" s="7"/>
      <c r="Q69" s="2"/>
      <c r="R69" s="6">
        <f t="shared" si="32"/>
        <v>0</v>
      </c>
      <c r="S69" s="2"/>
      <c r="T69" s="7">
        <v>0</v>
      </c>
      <c r="U69" s="2"/>
      <c r="V69" s="6">
        <f t="shared" si="33"/>
        <v>0</v>
      </c>
      <c r="W69" s="2"/>
      <c r="X69" s="7">
        <f t="shared" si="34"/>
        <v>0</v>
      </c>
      <c r="Y69" s="2"/>
      <c r="Z69" s="6">
        <f t="shared" si="35"/>
        <v>0</v>
      </c>
    </row>
    <row r="70" spans="1:26" s="28" customFormat="1" outlineLevel="1" collapsed="1" x14ac:dyDescent="0.25">
      <c r="A70" s="29"/>
      <c r="B70" s="14" t="str">
        <f>CONCATENATE("     ","Discounts and Markdowns                           ")</f>
        <v xml:space="preserve">     Discounts and Markdowns                           </v>
      </c>
      <c r="C70" s="14"/>
      <c r="D70" s="1">
        <f>SUM(OSRRefD22_5x_0)</f>
        <v>0</v>
      </c>
      <c r="E70" s="1"/>
      <c r="F70" s="5">
        <f t="shared" si="28"/>
        <v>0</v>
      </c>
      <c r="G70" s="1"/>
      <c r="H70" s="1">
        <f>SUM(OSRRefH22_5x_0)</f>
        <v>0</v>
      </c>
      <c r="I70" s="1"/>
      <c r="J70" s="5">
        <f t="shared" si="29"/>
        <v>0</v>
      </c>
      <c r="K70" s="1"/>
      <c r="L70" s="1">
        <f t="shared" si="30"/>
        <v>0</v>
      </c>
      <c r="M70" s="1"/>
      <c r="N70" s="5">
        <f t="shared" si="31"/>
        <v>0</v>
      </c>
      <c r="O70" s="14"/>
      <c r="P70" s="1">
        <f>SUM(OSRRefP22_5x_0)</f>
        <v>0</v>
      </c>
      <c r="Q70" s="1"/>
      <c r="R70" s="5">
        <f t="shared" si="32"/>
        <v>0</v>
      </c>
      <c r="S70" s="1"/>
      <c r="T70" s="1">
        <f>SUM(OSRRefT22_5x_0)</f>
        <v>0</v>
      </c>
      <c r="U70" s="1"/>
      <c r="V70" s="5">
        <f t="shared" si="33"/>
        <v>0</v>
      </c>
      <c r="W70" s="1"/>
      <c r="X70" s="1">
        <f t="shared" si="34"/>
        <v>0</v>
      </c>
      <c r="Y70" s="1"/>
      <c r="Z70" s="5">
        <f t="shared" si="35"/>
        <v>0</v>
      </c>
    </row>
    <row r="71" spans="1:26" s="24" customFormat="1" hidden="1" outlineLevel="2" x14ac:dyDescent="0.25">
      <c r="A71" s="27"/>
      <c r="B71" s="11" t="str">
        <f>CONCATENATE("          ", "9175", " - ", "EARNED DISCOUNTS")</f>
        <v xml:space="preserve">          9175 - EARNED DISCOUNTS</v>
      </c>
      <c r="C71" s="11"/>
      <c r="D71" s="7">
        <v>0</v>
      </c>
      <c r="E71" s="2"/>
      <c r="F71" s="6">
        <f t="shared" si="28"/>
        <v>0</v>
      </c>
      <c r="G71" s="2"/>
      <c r="H71" s="7"/>
      <c r="I71" s="2"/>
      <c r="J71" s="6">
        <f t="shared" si="29"/>
        <v>0</v>
      </c>
      <c r="K71" s="2"/>
      <c r="L71" s="7">
        <f t="shared" si="30"/>
        <v>0</v>
      </c>
      <c r="M71" s="2"/>
      <c r="N71" s="6">
        <f t="shared" si="31"/>
        <v>0</v>
      </c>
      <c r="O71" s="11"/>
      <c r="P71" s="7">
        <v>0</v>
      </c>
      <c r="Q71" s="2"/>
      <c r="R71" s="6">
        <f t="shared" si="32"/>
        <v>0</v>
      </c>
      <c r="S71" s="2"/>
      <c r="T71" s="7"/>
      <c r="U71" s="2"/>
      <c r="V71" s="6">
        <f t="shared" si="33"/>
        <v>0</v>
      </c>
      <c r="W71" s="2"/>
      <c r="X71" s="7">
        <f t="shared" si="34"/>
        <v>0</v>
      </c>
      <c r="Y71" s="2"/>
      <c r="Z71" s="6">
        <f t="shared" si="35"/>
        <v>0</v>
      </c>
    </row>
    <row r="72" spans="1:26" s="28" customFormat="1" outlineLevel="1" collapsed="1" x14ac:dyDescent="0.25">
      <c r="A72" s="29"/>
      <c r="B72" s="14" t="str">
        <f>CONCATENATE("     ","Employees' Appreciation                           ")</f>
        <v xml:space="preserve">     Employees' Appreciation                           </v>
      </c>
      <c r="C72" s="14"/>
      <c r="D72" s="1">
        <f>SUM(OSRRefD22_6x_0)</f>
        <v>0</v>
      </c>
      <c r="E72" s="1"/>
      <c r="F72" s="5">
        <f t="shared" si="28"/>
        <v>0</v>
      </c>
      <c r="G72" s="1"/>
      <c r="H72" s="1">
        <f>SUM(OSRRefH22_6x_0)</f>
        <v>50</v>
      </c>
      <c r="I72" s="1"/>
      <c r="J72" s="5">
        <f t="shared" si="29"/>
        <v>2.1773210242118099E-4</v>
      </c>
      <c r="K72" s="1"/>
      <c r="L72" s="1">
        <f t="shared" si="30"/>
        <v>-50</v>
      </c>
      <c r="M72" s="1"/>
      <c r="N72" s="5">
        <f t="shared" si="31"/>
        <v>-1</v>
      </c>
      <c r="O72" s="14"/>
      <c r="P72" s="1">
        <f>SUM(OSRRefP22_6x_0)</f>
        <v>216.44</v>
      </c>
      <c r="Q72" s="1"/>
      <c r="R72" s="5">
        <f t="shared" si="32"/>
        <v>1.725147360853722E-4</v>
      </c>
      <c r="S72" s="1"/>
      <c r="T72" s="1">
        <f>SUM(OSRRefT22_6x_0)</f>
        <v>200</v>
      </c>
      <c r="U72" s="1"/>
      <c r="V72" s="5">
        <f t="shared" si="33"/>
        <v>1.8496511095594594E-4</v>
      </c>
      <c r="W72" s="1"/>
      <c r="X72" s="1">
        <f t="shared" si="34"/>
        <v>16.439999999999998</v>
      </c>
      <c r="Y72" s="1"/>
      <c r="Z72" s="5">
        <f t="shared" si="35"/>
        <v>8.2199999999999995E-2</v>
      </c>
    </row>
    <row r="73" spans="1:26" s="24" customFormat="1" hidden="1" outlineLevel="2" x14ac:dyDescent="0.25">
      <c r="A73" s="27"/>
      <c r="B73" s="11" t="str">
        <f>CONCATENATE("          ", "6277", " - ", "EMPLOYEE APPRECIATION")</f>
        <v xml:space="preserve">          6277 - EMPLOYEE APPRECIATION</v>
      </c>
      <c r="C73" s="11"/>
      <c r="D73" s="7"/>
      <c r="E73" s="2"/>
      <c r="F73" s="6">
        <f t="shared" si="28"/>
        <v>0</v>
      </c>
      <c r="G73" s="2"/>
      <c r="H73" s="7">
        <v>50</v>
      </c>
      <c r="I73" s="2"/>
      <c r="J73" s="6">
        <f t="shared" si="29"/>
        <v>2.1773210242118099E-4</v>
      </c>
      <c r="K73" s="2"/>
      <c r="L73" s="7">
        <f t="shared" si="30"/>
        <v>-50</v>
      </c>
      <c r="M73" s="2"/>
      <c r="N73" s="6">
        <f t="shared" si="31"/>
        <v>-1</v>
      </c>
      <c r="O73" s="11"/>
      <c r="P73" s="7">
        <v>216.44</v>
      </c>
      <c r="Q73" s="2"/>
      <c r="R73" s="6">
        <f t="shared" si="32"/>
        <v>1.725147360853722E-4</v>
      </c>
      <c r="S73" s="2"/>
      <c r="T73" s="7">
        <v>200</v>
      </c>
      <c r="U73" s="2"/>
      <c r="V73" s="6">
        <f t="shared" si="33"/>
        <v>1.8496511095594594E-4</v>
      </c>
      <c r="W73" s="2"/>
      <c r="X73" s="7">
        <f t="shared" si="34"/>
        <v>16.439999999999998</v>
      </c>
      <c r="Y73" s="2"/>
      <c r="Z73" s="6">
        <f t="shared" si="35"/>
        <v>8.2199999999999995E-2</v>
      </c>
    </row>
    <row r="74" spans="1:26" s="28" customFormat="1" outlineLevel="1" collapsed="1" x14ac:dyDescent="0.25">
      <c r="A74" s="29"/>
      <c r="B74" s="14" t="str">
        <f>CONCATENATE("     ","Freight out/Postage                               ")</f>
        <v xml:space="preserve">     Freight out/Postage                               </v>
      </c>
      <c r="C74" s="14"/>
      <c r="D74" s="1">
        <f>SUM(OSRRefD22_7x_0)</f>
        <v>19.82</v>
      </c>
      <c r="E74" s="1"/>
      <c r="F74" s="5">
        <f t="shared" si="28"/>
        <v>4.4076110681296142E-5</v>
      </c>
      <c r="G74" s="1"/>
      <c r="H74" s="1">
        <f>SUM(OSRRefH22_7x_0)</f>
        <v>50</v>
      </c>
      <c r="I74" s="1"/>
      <c r="J74" s="5">
        <f t="shared" si="29"/>
        <v>2.1773210242118099E-4</v>
      </c>
      <c r="K74" s="1"/>
      <c r="L74" s="1">
        <f t="shared" si="30"/>
        <v>-30.18</v>
      </c>
      <c r="M74" s="1"/>
      <c r="N74" s="5">
        <f t="shared" si="31"/>
        <v>-0.60360000000000003</v>
      </c>
      <c r="O74" s="14"/>
      <c r="P74" s="1">
        <f>SUM(OSRRefP22_7x_0)</f>
        <v>925.77</v>
      </c>
      <c r="Q74" s="1"/>
      <c r="R74" s="5">
        <f t="shared" si="32"/>
        <v>7.3789025700311871E-4</v>
      </c>
      <c r="S74" s="1"/>
      <c r="T74" s="1">
        <f>SUM(OSRRefT22_7x_0)</f>
        <v>200</v>
      </c>
      <c r="U74" s="1"/>
      <c r="V74" s="5">
        <f t="shared" si="33"/>
        <v>1.8496511095594594E-4</v>
      </c>
      <c r="W74" s="1"/>
      <c r="X74" s="1">
        <f t="shared" si="34"/>
        <v>725.77</v>
      </c>
      <c r="Y74" s="1"/>
      <c r="Z74" s="5">
        <f t="shared" si="35"/>
        <v>3.6288499999999999</v>
      </c>
    </row>
    <row r="75" spans="1:26" s="24" customFormat="1" hidden="1" outlineLevel="2" x14ac:dyDescent="0.25">
      <c r="A75" s="27"/>
      <c r="B75" s="11" t="str">
        <f>CONCATENATE("          ", "6305", " - ", "FREIGHT OUT")</f>
        <v xml:space="preserve">          6305 - FREIGHT OUT</v>
      </c>
      <c r="C75" s="11"/>
      <c r="D75" s="7">
        <v>19.82</v>
      </c>
      <c r="E75" s="2"/>
      <c r="F75" s="6">
        <f t="shared" si="28"/>
        <v>4.4076110681296142E-5</v>
      </c>
      <c r="G75" s="2"/>
      <c r="H75" s="7">
        <v>50</v>
      </c>
      <c r="I75" s="2"/>
      <c r="J75" s="6">
        <f t="shared" si="29"/>
        <v>2.1773210242118099E-4</v>
      </c>
      <c r="K75" s="2"/>
      <c r="L75" s="7">
        <f t="shared" si="30"/>
        <v>-30.18</v>
      </c>
      <c r="M75" s="2"/>
      <c r="N75" s="6">
        <f t="shared" si="31"/>
        <v>-0.60360000000000003</v>
      </c>
      <c r="O75" s="11"/>
      <c r="P75" s="7">
        <v>890.35</v>
      </c>
      <c r="Q75" s="2"/>
      <c r="R75" s="6">
        <f t="shared" si="32"/>
        <v>7.0965854404736245E-4</v>
      </c>
      <c r="S75" s="2"/>
      <c r="T75" s="7">
        <v>200</v>
      </c>
      <c r="U75" s="2"/>
      <c r="V75" s="6">
        <f t="shared" si="33"/>
        <v>1.8496511095594594E-4</v>
      </c>
      <c r="W75" s="2"/>
      <c r="X75" s="7">
        <f t="shared" si="34"/>
        <v>690.35</v>
      </c>
      <c r="Y75" s="2"/>
      <c r="Z75" s="6">
        <f t="shared" si="35"/>
        <v>3.4517500000000001</v>
      </c>
    </row>
    <row r="76" spans="1:26" s="24" customFormat="1" hidden="1" outlineLevel="2" x14ac:dyDescent="0.25">
      <c r="A76" s="27"/>
      <c r="B76" s="11" t="str">
        <f>CONCATENATE("          ", "6307", " - ", "POSTAGE")</f>
        <v xml:space="preserve">          6307 - POSTAGE</v>
      </c>
      <c r="C76" s="11"/>
      <c r="D76" s="7"/>
      <c r="E76" s="2"/>
      <c r="F76" s="6">
        <f t="shared" si="28"/>
        <v>0</v>
      </c>
      <c r="G76" s="2"/>
      <c r="H76" s="7"/>
      <c r="I76" s="2"/>
      <c r="J76" s="6">
        <f t="shared" si="29"/>
        <v>0</v>
      </c>
      <c r="K76" s="2"/>
      <c r="L76" s="7">
        <f t="shared" si="30"/>
        <v>0</v>
      </c>
      <c r="M76" s="2"/>
      <c r="N76" s="6">
        <f t="shared" si="31"/>
        <v>0</v>
      </c>
      <c r="O76" s="11"/>
      <c r="P76" s="7">
        <v>35.42</v>
      </c>
      <c r="Q76" s="2"/>
      <c r="R76" s="6">
        <f t="shared" si="32"/>
        <v>2.8231712955756252E-5</v>
      </c>
      <c r="S76" s="2"/>
      <c r="T76" s="7"/>
      <c r="U76" s="2"/>
      <c r="V76" s="6">
        <f t="shared" si="33"/>
        <v>0</v>
      </c>
      <c r="W76" s="2"/>
      <c r="X76" s="7">
        <f t="shared" si="34"/>
        <v>35.42</v>
      </c>
      <c r="Y76" s="2"/>
      <c r="Z76" s="6">
        <f t="shared" si="35"/>
        <v>0</v>
      </c>
    </row>
    <row r="77" spans="1:26" s="28" customFormat="1" outlineLevel="1" collapsed="1" x14ac:dyDescent="0.25">
      <c r="A77" s="29"/>
      <c r="B77" s="14" t="str">
        <f>CONCATENATE("     ","General                                           ")</f>
        <v xml:space="preserve">     General                                           </v>
      </c>
      <c r="C77" s="14"/>
      <c r="D77" s="1">
        <f>SUM(OSRRefD22_8x_0)</f>
        <v>0</v>
      </c>
      <c r="E77" s="1"/>
      <c r="F77" s="5">
        <f t="shared" ref="F77:F85" si="36">IF(D$12=0,0,D77/D$12)</f>
        <v>0</v>
      </c>
      <c r="G77" s="1"/>
      <c r="H77" s="1">
        <f>SUM(OSRRefH22_8x_0)</f>
        <v>0</v>
      </c>
      <c r="I77" s="1"/>
      <c r="J77" s="5">
        <f t="shared" ref="J77:J85" si="37">IF(H$12=0,0,H77/H$12)</f>
        <v>0</v>
      </c>
      <c r="K77" s="1"/>
      <c r="L77" s="1">
        <f t="shared" ref="L77:L85" si="38">+D77-H77</f>
        <v>0</v>
      </c>
      <c r="M77" s="1"/>
      <c r="N77" s="5">
        <f t="shared" ref="N77:N85" si="39">IF(H77=0,0,L77/H77)</f>
        <v>0</v>
      </c>
      <c r="O77" s="14"/>
      <c r="P77" s="1">
        <f>SUM(OSRRefP22_8x_0)</f>
        <v>0</v>
      </c>
      <c r="Q77" s="1"/>
      <c r="R77" s="5">
        <f t="shared" ref="R77:R85" si="40">IF(P$12=0,0,P77/P$12)</f>
        <v>0</v>
      </c>
      <c r="S77" s="1"/>
      <c r="T77" s="1">
        <f>SUM(OSRRefT22_8x_0)</f>
        <v>0</v>
      </c>
      <c r="U77" s="1"/>
      <c r="V77" s="5">
        <f t="shared" ref="V77:V85" si="41">IF(T$12=0,0,T77/T$12)</f>
        <v>0</v>
      </c>
      <c r="W77" s="1"/>
      <c r="X77" s="1">
        <f t="shared" ref="X77:X85" si="42">+P77-T77</f>
        <v>0</v>
      </c>
      <c r="Y77" s="1"/>
      <c r="Z77" s="5">
        <f t="shared" ref="Z77:Z85" si="43">IF(T77=0,0,X77/T77)</f>
        <v>0</v>
      </c>
    </row>
    <row r="78" spans="1:26" s="24" customFormat="1" hidden="1" outlineLevel="2" x14ac:dyDescent="0.25">
      <c r="A78" s="27"/>
      <c r="B78" s="11" t="str">
        <f>CONCATENATE("          ", "6279", " - ", "GENERAL EXPENSE")</f>
        <v xml:space="preserve">          6279 - GENERAL EXPENSE</v>
      </c>
      <c r="C78" s="11"/>
      <c r="D78" s="7"/>
      <c r="E78" s="2"/>
      <c r="F78" s="6">
        <f t="shared" si="36"/>
        <v>0</v>
      </c>
      <c r="G78" s="2"/>
      <c r="H78" s="7">
        <v>0</v>
      </c>
      <c r="I78" s="2"/>
      <c r="J78" s="6">
        <f t="shared" si="37"/>
        <v>0</v>
      </c>
      <c r="K78" s="2"/>
      <c r="L78" s="7">
        <f t="shared" si="38"/>
        <v>0</v>
      </c>
      <c r="M78" s="2"/>
      <c r="N78" s="6">
        <f t="shared" si="39"/>
        <v>0</v>
      </c>
      <c r="O78" s="11"/>
      <c r="P78" s="7"/>
      <c r="Q78" s="2"/>
      <c r="R78" s="6">
        <f t="shared" si="40"/>
        <v>0</v>
      </c>
      <c r="S78" s="2"/>
      <c r="T78" s="7">
        <v>0</v>
      </c>
      <c r="U78" s="2"/>
      <c r="V78" s="6">
        <f t="shared" si="41"/>
        <v>0</v>
      </c>
      <c r="W78" s="2"/>
      <c r="X78" s="7">
        <f t="shared" si="42"/>
        <v>0</v>
      </c>
      <c r="Y78" s="2"/>
      <c r="Z78" s="6">
        <f t="shared" si="43"/>
        <v>0</v>
      </c>
    </row>
    <row r="79" spans="1:26" s="28" customFormat="1" outlineLevel="1" collapsed="1" x14ac:dyDescent="0.25">
      <c r="A79" s="29"/>
      <c r="B79" s="14" t="str">
        <f>CONCATENATE("     ","Inventory Adjustment                              ")</f>
        <v xml:space="preserve">     Inventory Adjustment                              </v>
      </c>
      <c r="C79" s="14"/>
      <c r="D79" s="1">
        <f>SUM(OSRRefD22_9x_0)</f>
        <v>3350</v>
      </c>
      <c r="E79" s="1"/>
      <c r="F79" s="5">
        <f t="shared" si="36"/>
        <v>7.4497967095026266E-3</v>
      </c>
      <c r="G79" s="1"/>
      <c r="H79" s="1">
        <f>SUM(OSRRefH22_9x_0)</f>
        <v>3350</v>
      </c>
      <c r="I79" s="1"/>
      <c r="J79" s="5">
        <f t="shared" si="37"/>
        <v>1.4588050862219126E-2</v>
      </c>
      <c r="K79" s="1"/>
      <c r="L79" s="1">
        <f t="shared" si="38"/>
        <v>0</v>
      </c>
      <c r="M79" s="1"/>
      <c r="N79" s="5">
        <f t="shared" si="39"/>
        <v>0</v>
      </c>
      <c r="O79" s="14"/>
      <c r="P79" s="1">
        <f>SUM(OSRRefP22_9x_0)</f>
        <v>13400</v>
      </c>
      <c r="Q79" s="1"/>
      <c r="R79" s="5">
        <f t="shared" si="40"/>
        <v>1.068054640336346E-2</v>
      </c>
      <c r="S79" s="1"/>
      <c r="T79" s="1">
        <f>SUM(OSRRefT22_9x_0)</f>
        <v>13400</v>
      </c>
      <c r="U79" s="1"/>
      <c r="V79" s="5">
        <f t="shared" si="41"/>
        <v>1.2392662434048378E-2</v>
      </c>
      <c r="W79" s="1"/>
      <c r="X79" s="1">
        <f t="shared" si="42"/>
        <v>0</v>
      </c>
      <c r="Y79" s="1"/>
      <c r="Z79" s="5">
        <f t="shared" si="43"/>
        <v>0</v>
      </c>
    </row>
    <row r="80" spans="1:26" s="24" customFormat="1" hidden="1" outlineLevel="2" x14ac:dyDescent="0.25">
      <c r="A80" s="27"/>
      <c r="B80" s="11" t="str">
        <f>CONCATENATE("          ", "6408", " - ", "INVENTORY ADJUSTMENT")</f>
        <v xml:space="preserve">          6408 - INVENTORY ADJUSTMENT</v>
      </c>
      <c r="C80" s="11"/>
      <c r="D80" s="7">
        <v>3350</v>
      </c>
      <c r="E80" s="2"/>
      <c r="F80" s="6">
        <f t="shared" si="36"/>
        <v>7.4497967095026266E-3</v>
      </c>
      <c r="G80" s="2"/>
      <c r="H80" s="7">
        <v>3350</v>
      </c>
      <c r="I80" s="2"/>
      <c r="J80" s="6">
        <f t="shared" si="37"/>
        <v>1.4588050862219126E-2</v>
      </c>
      <c r="K80" s="2"/>
      <c r="L80" s="7">
        <f t="shared" si="38"/>
        <v>0</v>
      </c>
      <c r="M80" s="2"/>
      <c r="N80" s="6">
        <f t="shared" si="39"/>
        <v>0</v>
      </c>
      <c r="O80" s="11"/>
      <c r="P80" s="7">
        <v>13400</v>
      </c>
      <c r="Q80" s="2"/>
      <c r="R80" s="6">
        <f t="shared" si="40"/>
        <v>1.068054640336346E-2</v>
      </c>
      <c r="S80" s="2"/>
      <c r="T80" s="7">
        <v>13400</v>
      </c>
      <c r="U80" s="2"/>
      <c r="V80" s="6">
        <f t="shared" si="41"/>
        <v>1.2392662434048378E-2</v>
      </c>
      <c r="W80" s="2"/>
      <c r="X80" s="7">
        <f t="shared" si="42"/>
        <v>0</v>
      </c>
      <c r="Y80" s="2"/>
      <c r="Z80" s="6">
        <f t="shared" si="43"/>
        <v>0</v>
      </c>
    </row>
    <row r="81" spans="1:26" s="28" customFormat="1" outlineLevel="1" collapsed="1" x14ac:dyDescent="0.25">
      <c r="A81" s="29"/>
      <c r="B81" s="14" t="str">
        <f>CONCATENATE("     ","Professional Services                             ")</f>
        <v xml:space="preserve">     Professional Services                             </v>
      </c>
      <c r="C81" s="14"/>
      <c r="D81" s="1">
        <f>SUM(OSRRefD22_10x_0)</f>
        <v>507.64</v>
      </c>
      <c r="E81" s="1"/>
      <c r="F81" s="5">
        <f t="shared" si="36"/>
        <v>1.1288999407796756E-3</v>
      </c>
      <c r="G81" s="1"/>
      <c r="H81" s="1">
        <f>SUM(OSRRefH22_10x_0)</f>
        <v>250</v>
      </c>
      <c r="I81" s="1"/>
      <c r="J81" s="5">
        <f t="shared" si="37"/>
        <v>1.088660512105905E-3</v>
      </c>
      <c r="K81" s="1"/>
      <c r="L81" s="1">
        <f t="shared" si="38"/>
        <v>257.64</v>
      </c>
      <c r="M81" s="1"/>
      <c r="N81" s="5">
        <f t="shared" si="39"/>
        <v>1.0305599999999999</v>
      </c>
      <c r="O81" s="14"/>
      <c r="P81" s="1">
        <f>SUM(OSRRefP22_10x_0)</f>
        <v>507.64</v>
      </c>
      <c r="Q81" s="1"/>
      <c r="R81" s="5">
        <f t="shared" si="40"/>
        <v>4.0461735643309156E-4</v>
      </c>
      <c r="S81" s="1"/>
      <c r="T81" s="1">
        <f>SUM(OSRRefT22_10x_0)</f>
        <v>500</v>
      </c>
      <c r="U81" s="1"/>
      <c r="V81" s="5">
        <f t="shared" si="41"/>
        <v>4.6241277738986482E-4</v>
      </c>
      <c r="W81" s="1"/>
      <c r="X81" s="1">
        <f t="shared" si="42"/>
        <v>7.6399999999999864</v>
      </c>
      <c r="Y81" s="1"/>
      <c r="Z81" s="5">
        <f t="shared" si="43"/>
        <v>1.5279999999999972E-2</v>
      </c>
    </row>
    <row r="82" spans="1:26" s="24" customFormat="1" hidden="1" outlineLevel="2" x14ac:dyDescent="0.25">
      <c r="A82" s="27"/>
      <c r="B82" s="11" t="str">
        <f>CONCATENATE("          ", "6336", " - ", "PROFESSIONAL SERVICES")</f>
        <v xml:space="preserve">          6336 - PROFESSIONAL SERVICES</v>
      </c>
      <c r="C82" s="11"/>
      <c r="D82" s="7">
        <v>507.64</v>
      </c>
      <c r="E82" s="2"/>
      <c r="F82" s="6">
        <f t="shared" si="36"/>
        <v>1.1288999407796756E-3</v>
      </c>
      <c r="G82" s="2"/>
      <c r="H82" s="7">
        <v>250</v>
      </c>
      <c r="I82" s="2"/>
      <c r="J82" s="6">
        <f t="shared" si="37"/>
        <v>1.088660512105905E-3</v>
      </c>
      <c r="K82" s="2"/>
      <c r="L82" s="7">
        <f t="shared" si="38"/>
        <v>257.64</v>
      </c>
      <c r="M82" s="2"/>
      <c r="N82" s="6">
        <f t="shared" si="39"/>
        <v>1.0305599999999999</v>
      </c>
      <c r="O82" s="11"/>
      <c r="P82" s="7">
        <v>507.64</v>
      </c>
      <c r="Q82" s="2"/>
      <c r="R82" s="6">
        <f t="shared" si="40"/>
        <v>4.0461735643309156E-4</v>
      </c>
      <c r="S82" s="2"/>
      <c r="T82" s="7">
        <v>500</v>
      </c>
      <c r="U82" s="2"/>
      <c r="V82" s="6">
        <f t="shared" si="41"/>
        <v>4.6241277738986482E-4</v>
      </c>
      <c r="W82" s="2"/>
      <c r="X82" s="7">
        <f t="shared" si="42"/>
        <v>7.6399999999999864</v>
      </c>
      <c r="Y82" s="2"/>
      <c r="Z82" s="6">
        <f t="shared" si="43"/>
        <v>1.5279999999999972E-2</v>
      </c>
    </row>
    <row r="83" spans="1:26" s="28" customFormat="1" outlineLevel="1" collapsed="1" x14ac:dyDescent="0.25">
      <c r="A83" s="29"/>
      <c r="B83" s="14" t="str">
        <f>CONCATENATE("     ","Repair and Maintenance                            ")</f>
        <v xml:space="preserve">     Repair and Maintenance                            </v>
      </c>
      <c r="C83" s="14"/>
      <c r="D83" s="1">
        <f>SUM(OSRRefD22_11x_0)</f>
        <v>0</v>
      </c>
      <c r="E83" s="1"/>
      <c r="F83" s="5">
        <f t="shared" si="36"/>
        <v>0</v>
      </c>
      <c r="G83" s="1"/>
      <c r="H83" s="1">
        <f>SUM(OSRRefH22_11x_0)</f>
        <v>0</v>
      </c>
      <c r="I83" s="1"/>
      <c r="J83" s="5">
        <f t="shared" si="37"/>
        <v>0</v>
      </c>
      <c r="K83" s="1"/>
      <c r="L83" s="1">
        <f t="shared" si="38"/>
        <v>0</v>
      </c>
      <c r="M83" s="1"/>
      <c r="N83" s="5">
        <f t="shared" si="39"/>
        <v>0</v>
      </c>
      <c r="O83" s="14"/>
      <c r="P83" s="1">
        <f>SUM(OSRRefP22_11x_0)</f>
        <v>9.24</v>
      </c>
      <c r="Q83" s="1"/>
      <c r="R83" s="5">
        <f t="shared" si="40"/>
        <v>7.3647946841103269E-6</v>
      </c>
      <c r="S83" s="1"/>
      <c r="T83" s="1">
        <f>SUM(OSRRefT22_11x_0)</f>
        <v>0</v>
      </c>
      <c r="U83" s="1"/>
      <c r="V83" s="5">
        <f t="shared" si="41"/>
        <v>0</v>
      </c>
      <c r="W83" s="1"/>
      <c r="X83" s="1">
        <f t="shared" si="42"/>
        <v>9.24</v>
      </c>
      <c r="Y83" s="1"/>
      <c r="Z83" s="5">
        <f t="shared" si="43"/>
        <v>0</v>
      </c>
    </row>
    <row r="84" spans="1:26" s="24" customFormat="1" hidden="1" outlineLevel="2" x14ac:dyDescent="0.25">
      <c r="A84" s="27"/>
      <c r="B84" s="11" t="str">
        <f>CONCATENATE("          ", "6373", " - ", "MAINTENANCE CONTRACTS")</f>
        <v xml:space="preserve">          6373 - MAINTENANCE CONTRACTS</v>
      </c>
      <c r="C84" s="11"/>
      <c r="D84" s="7"/>
      <c r="E84" s="2"/>
      <c r="F84" s="6">
        <f t="shared" si="36"/>
        <v>0</v>
      </c>
      <c r="G84" s="2"/>
      <c r="H84" s="7"/>
      <c r="I84" s="2"/>
      <c r="J84" s="6">
        <f t="shared" si="37"/>
        <v>0</v>
      </c>
      <c r="K84" s="2"/>
      <c r="L84" s="7">
        <f t="shared" si="38"/>
        <v>0</v>
      </c>
      <c r="M84" s="2"/>
      <c r="N84" s="6">
        <f t="shared" si="39"/>
        <v>0</v>
      </c>
      <c r="O84" s="11"/>
      <c r="P84" s="7">
        <v>5.7</v>
      </c>
      <c r="Q84" s="2"/>
      <c r="R84" s="6">
        <f t="shared" si="40"/>
        <v>4.543217499938189E-6</v>
      </c>
      <c r="S84" s="2"/>
      <c r="T84" s="7"/>
      <c r="U84" s="2"/>
      <c r="V84" s="6">
        <f t="shared" si="41"/>
        <v>0</v>
      </c>
      <c r="W84" s="2"/>
      <c r="X84" s="7">
        <f t="shared" si="42"/>
        <v>5.7</v>
      </c>
      <c r="Y84" s="2"/>
      <c r="Z84" s="6">
        <f t="shared" si="43"/>
        <v>0</v>
      </c>
    </row>
    <row r="85" spans="1:26" s="24" customFormat="1" hidden="1" outlineLevel="2" x14ac:dyDescent="0.25">
      <c r="A85" s="27"/>
      <c r="B85" s="11" t="str">
        <f>CONCATENATE("          ", "6375", " - ", "OUTSIDE REPAIRS &amp; MAINTENANCE")</f>
        <v xml:space="preserve">          6375 - OUTSIDE REPAIRS &amp; MAINTENANCE</v>
      </c>
      <c r="C85" s="11"/>
      <c r="D85" s="7"/>
      <c r="E85" s="2"/>
      <c r="F85" s="6">
        <f t="shared" si="36"/>
        <v>0</v>
      </c>
      <c r="G85" s="2"/>
      <c r="H85" s="7">
        <v>0</v>
      </c>
      <c r="I85" s="2"/>
      <c r="J85" s="6">
        <f t="shared" si="37"/>
        <v>0</v>
      </c>
      <c r="K85" s="2"/>
      <c r="L85" s="7">
        <f t="shared" si="38"/>
        <v>0</v>
      </c>
      <c r="M85" s="2"/>
      <c r="N85" s="6">
        <f t="shared" si="39"/>
        <v>0</v>
      </c>
      <c r="O85" s="11"/>
      <c r="P85" s="7">
        <v>3.54</v>
      </c>
      <c r="Q85" s="2"/>
      <c r="R85" s="6">
        <f t="shared" si="40"/>
        <v>2.8215771841721383E-6</v>
      </c>
      <c r="S85" s="2"/>
      <c r="T85" s="7">
        <v>0</v>
      </c>
      <c r="U85" s="2"/>
      <c r="V85" s="6">
        <f t="shared" si="41"/>
        <v>0</v>
      </c>
      <c r="W85" s="2"/>
      <c r="X85" s="7">
        <f t="shared" si="42"/>
        <v>3.54</v>
      </c>
      <c r="Y85" s="2"/>
      <c r="Z85" s="6">
        <f t="shared" si="43"/>
        <v>0</v>
      </c>
    </row>
    <row r="86" spans="1:26" s="28" customFormat="1" outlineLevel="1" collapsed="1" x14ac:dyDescent="0.25">
      <c r="A86" s="29"/>
      <c r="B86" s="14" t="str">
        <f>CONCATENATE("     ","Royalty &amp; Commissions                             ")</f>
        <v xml:space="preserve">     Royalty &amp; Commissions                             </v>
      </c>
      <c r="C86" s="14"/>
      <c r="D86" s="1">
        <f>SUM(OSRRefD22_12x_0)</f>
        <v>8783.75</v>
      </c>
      <c r="E86" s="1"/>
      <c r="F86" s="5">
        <f t="shared" ref="F86:F89" si="44">IF(D$12=0,0,D86/D$12)</f>
        <v>1.9533478163311552E-2</v>
      </c>
      <c r="G86" s="1"/>
      <c r="H86" s="1">
        <f>SUM(OSRRefH22_12x_0)</f>
        <v>11612</v>
      </c>
      <c r="I86" s="1"/>
      <c r="J86" s="5">
        <f t="shared" ref="J86:J89" si="45">IF(H$12=0,0,H86/H$12)</f>
        <v>5.0566103466295073E-2</v>
      </c>
      <c r="K86" s="1"/>
      <c r="L86" s="1">
        <f t="shared" ref="L86:L89" si="46">+D86-H86</f>
        <v>-2828.25</v>
      </c>
      <c r="M86" s="1"/>
      <c r="N86" s="5">
        <f t="shared" ref="N86:N89" si="47">IF(H86=0,0,L86/H86)</f>
        <v>-0.24356269376507061</v>
      </c>
      <c r="O86" s="14"/>
      <c r="P86" s="1">
        <f>SUM(OSRRefP22_12x_0)</f>
        <v>16132.79</v>
      </c>
      <c r="Q86" s="1"/>
      <c r="R86" s="5">
        <f t="shared" ref="R86:R89" si="48">IF(P$12=0,0,P86/P$12)</f>
        <v>1.2858732254531194E-2</v>
      </c>
      <c r="S86" s="1"/>
      <c r="T86" s="1">
        <f>SUM(OSRRefT22_12x_0)</f>
        <v>21472</v>
      </c>
      <c r="U86" s="1"/>
      <c r="V86" s="5">
        <f t="shared" ref="V86:V89" si="49">IF(T$12=0,0,T86/T$12)</f>
        <v>1.9857854312230354E-2</v>
      </c>
      <c r="W86" s="1"/>
      <c r="X86" s="1">
        <f t="shared" ref="X86:X89" si="50">+P86-T86</f>
        <v>-5339.2099999999991</v>
      </c>
      <c r="Y86" s="1"/>
      <c r="Z86" s="5">
        <f t="shared" ref="Z86:Z89" si="51">IF(T86=0,0,X86/T86)</f>
        <v>-0.24865918405365123</v>
      </c>
    </row>
    <row r="87" spans="1:26" s="24" customFormat="1" hidden="1" outlineLevel="2" x14ac:dyDescent="0.25">
      <c r="A87" s="27"/>
      <c r="B87" s="11" t="str">
        <f>CONCATENATE("          ", "6252", " - ", "ROYALTY DUE CSTV")</f>
        <v xml:space="preserve">          6252 - ROYALTY DUE CSTV</v>
      </c>
      <c r="C87" s="11"/>
      <c r="D87" s="7"/>
      <c r="E87" s="2"/>
      <c r="F87" s="6">
        <f t="shared" si="44"/>
        <v>0</v>
      </c>
      <c r="G87" s="2"/>
      <c r="H87" s="7">
        <v>1122</v>
      </c>
      <c r="I87" s="2"/>
      <c r="J87" s="6">
        <f t="shared" si="45"/>
        <v>4.8859083783313008E-3</v>
      </c>
      <c r="K87" s="2"/>
      <c r="L87" s="7">
        <f t="shared" si="46"/>
        <v>-1122</v>
      </c>
      <c r="M87" s="2"/>
      <c r="N87" s="6">
        <f t="shared" si="47"/>
        <v>-1</v>
      </c>
      <c r="O87" s="11"/>
      <c r="P87" s="7"/>
      <c r="Q87" s="2"/>
      <c r="R87" s="6">
        <f t="shared" si="48"/>
        <v>0</v>
      </c>
      <c r="S87" s="2"/>
      <c r="T87" s="7">
        <v>5310</v>
      </c>
      <c r="U87" s="2"/>
      <c r="V87" s="6">
        <f t="shared" si="49"/>
        <v>4.9108236958803645E-3</v>
      </c>
      <c r="W87" s="2"/>
      <c r="X87" s="7">
        <f t="shared" si="50"/>
        <v>-5310</v>
      </c>
      <c r="Y87" s="2"/>
      <c r="Z87" s="6">
        <f t="shared" si="51"/>
        <v>-1</v>
      </c>
    </row>
    <row r="88" spans="1:26" s="24" customFormat="1" hidden="1" outlineLevel="2" x14ac:dyDescent="0.25">
      <c r="A88" s="27"/>
      <c r="B88" s="11" t="str">
        <f>CONCATENATE("          ", "6253", " - ", "ROYALTY DUE ATHLETICS-LRG")</f>
        <v xml:space="preserve">          6253 - ROYALTY DUE ATHLETICS-LRG</v>
      </c>
      <c r="C88" s="11"/>
      <c r="D88" s="7">
        <v>8783.75</v>
      </c>
      <c r="E88" s="2"/>
      <c r="F88" s="6">
        <f t="shared" si="44"/>
        <v>1.9533478163311552E-2</v>
      </c>
      <c r="G88" s="2"/>
      <c r="H88" s="7">
        <v>10490</v>
      </c>
      <c r="I88" s="2"/>
      <c r="J88" s="6">
        <f t="shared" si="45"/>
        <v>4.5680195087963768E-2</v>
      </c>
      <c r="K88" s="2"/>
      <c r="L88" s="7">
        <f t="shared" si="46"/>
        <v>-1706.25</v>
      </c>
      <c r="M88" s="2"/>
      <c r="N88" s="6">
        <f t="shared" si="47"/>
        <v>-0.16265490943755959</v>
      </c>
      <c r="O88" s="11"/>
      <c r="P88" s="7">
        <v>23160.29</v>
      </c>
      <c r="Q88" s="2"/>
      <c r="R88" s="6">
        <f t="shared" si="48"/>
        <v>1.8460041198533936E-2</v>
      </c>
      <c r="S88" s="2"/>
      <c r="T88" s="7">
        <v>16162</v>
      </c>
      <c r="U88" s="2"/>
      <c r="V88" s="6">
        <f t="shared" si="49"/>
        <v>1.494703061634999E-2</v>
      </c>
      <c r="W88" s="2"/>
      <c r="X88" s="7">
        <f t="shared" si="50"/>
        <v>6998.2900000000009</v>
      </c>
      <c r="Y88" s="2"/>
      <c r="Z88" s="6">
        <f t="shared" si="51"/>
        <v>0.43300890978839257</v>
      </c>
    </row>
    <row r="89" spans="1:26" s="24" customFormat="1" hidden="1" outlineLevel="2" x14ac:dyDescent="0.25">
      <c r="A89" s="27"/>
      <c r="B89" s="11" t="str">
        <f>CONCATENATE("          ", "6254", " - ", "ROYALTY &amp; COMMISSIONS")</f>
        <v xml:space="preserve">          6254 - ROYALTY &amp; COMMISSIONS</v>
      </c>
      <c r="C89" s="11"/>
      <c r="D89" s="7"/>
      <c r="E89" s="2"/>
      <c r="F89" s="6">
        <f t="shared" si="44"/>
        <v>0</v>
      </c>
      <c r="G89" s="2"/>
      <c r="H89" s="7">
        <v>0</v>
      </c>
      <c r="I89" s="2"/>
      <c r="J89" s="6">
        <f t="shared" si="45"/>
        <v>0</v>
      </c>
      <c r="K89" s="2"/>
      <c r="L89" s="7">
        <f t="shared" si="46"/>
        <v>0</v>
      </c>
      <c r="M89" s="2"/>
      <c r="N89" s="6">
        <f t="shared" si="47"/>
        <v>0</v>
      </c>
      <c r="O89" s="11"/>
      <c r="P89" s="7">
        <v>-7027.5</v>
      </c>
      <c r="Q89" s="2"/>
      <c r="R89" s="6">
        <f t="shared" si="48"/>
        <v>-5.6013089440027398E-3</v>
      </c>
      <c r="S89" s="2"/>
      <c r="T89" s="7">
        <v>0</v>
      </c>
      <c r="U89" s="2"/>
      <c r="V89" s="6">
        <f t="shared" si="49"/>
        <v>0</v>
      </c>
      <c r="W89" s="2"/>
      <c r="X89" s="7">
        <f t="shared" si="50"/>
        <v>-7027.5</v>
      </c>
      <c r="Y89" s="2"/>
      <c r="Z89" s="6">
        <f t="shared" si="51"/>
        <v>0</v>
      </c>
    </row>
    <row r="90" spans="1:26" s="28" customFormat="1" outlineLevel="1" collapsed="1" x14ac:dyDescent="0.25">
      <c r="A90" s="29"/>
      <c r="B90" s="14" t="str">
        <f>CONCATENATE("     ","Subscriptions &amp; Dues                              ")</f>
        <v xml:space="preserve">     Subscriptions &amp; Dues                              </v>
      </c>
      <c r="C90" s="14"/>
      <c r="D90" s="1">
        <f>SUM(OSRRefD22_13x_0)</f>
        <v>0</v>
      </c>
      <c r="E90" s="1"/>
      <c r="F90" s="5">
        <f t="shared" ref="F90:F92" si="52">IF(D$12=0,0,D90/D$12)</f>
        <v>0</v>
      </c>
      <c r="G90" s="1"/>
      <c r="H90" s="1">
        <f>SUM(OSRRefH22_13x_0)</f>
        <v>0</v>
      </c>
      <c r="I90" s="1"/>
      <c r="J90" s="5">
        <f t="shared" ref="J90:J92" si="53">IF(H$12=0,0,H90/H$12)</f>
        <v>0</v>
      </c>
      <c r="K90" s="1"/>
      <c r="L90" s="1">
        <f t="shared" ref="L90:L92" si="54">+D90-H90</f>
        <v>0</v>
      </c>
      <c r="M90" s="1"/>
      <c r="N90" s="5">
        <f t="shared" ref="N90:N92" si="55">IF(H90=0,0,L90/H90)</f>
        <v>0</v>
      </c>
      <c r="O90" s="14"/>
      <c r="P90" s="1">
        <f>SUM(OSRRefP22_13x_0)</f>
        <v>0</v>
      </c>
      <c r="Q90" s="1"/>
      <c r="R90" s="5">
        <f t="shared" ref="R90:R92" si="56">IF(P$12=0,0,P90/P$12)</f>
        <v>0</v>
      </c>
      <c r="S90" s="1"/>
      <c r="T90" s="1">
        <f>SUM(OSRRefT22_13x_0)</f>
        <v>1000</v>
      </c>
      <c r="U90" s="1"/>
      <c r="V90" s="5">
        <f t="shared" ref="V90:V92" si="57">IF(T$12=0,0,T90/T$12)</f>
        <v>9.2482555477972964E-4</v>
      </c>
      <c r="W90" s="1"/>
      <c r="X90" s="1">
        <f t="shared" ref="X90:X92" si="58">+P90-T90</f>
        <v>-1000</v>
      </c>
      <c r="Y90" s="1"/>
      <c r="Z90" s="5">
        <f t="shared" ref="Z90:Z92" si="59">IF(T90=0,0,X90/T90)</f>
        <v>-1</v>
      </c>
    </row>
    <row r="91" spans="1:26" s="24" customFormat="1" hidden="1" outlineLevel="2" x14ac:dyDescent="0.25">
      <c r="A91" s="27"/>
      <c r="B91" s="11" t="str">
        <f>CONCATENATE("          ", "6258", " - ", "MEMBERSHIP DUES")</f>
        <v xml:space="preserve">          6258 - MEMBERSHIP DUES</v>
      </c>
      <c r="C91" s="11"/>
      <c r="D91" s="7"/>
      <c r="E91" s="2"/>
      <c r="F91" s="6">
        <f t="shared" si="52"/>
        <v>0</v>
      </c>
      <c r="G91" s="2"/>
      <c r="H91" s="7">
        <v>0</v>
      </c>
      <c r="I91" s="2"/>
      <c r="J91" s="6">
        <f t="shared" si="53"/>
        <v>0</v>
      </c>
      <c r="K91" s="2"/>
      <c r="L91" s="7">
        <f t="shared" si="54"/>
        <v>0</v>
      </c>
      <c r="M91" s="2"/>
      <c r="N91" s="6">
        <f t="shared" si="55"/>
        <v>0</v>
      </c>
      <c r="O91" s="11"/>
      <c r="P91" s="7"/>
      <c r="Q91" s="2"/>
      <c r="R91" s="6">
        <f t="shared" si="56"/>
        <v>0</v>
      </c>
      <c r="S91" s="2"/>
      <c r="T91" s="7">
        <v>1000</v>
      </c>
      <c r="U91" s="2"/>
      <c r="V91" s="6">
        <f t="shared" si="57"/>
        <v>9.2482555477972964E-4</v>
      </c>
      <c r="W91" s="2"/>
      <c r="X91" s="7">
        <f t="shared" si="58"/>
        <v>-1000</v>
      </c>
      <c r="Y91" s="2"/>
      <c r="Z91" s="6">
        <f t="shared" si="59"/>
        <v>-1</v>
      </c>
    </row>
    <row r="92" spans="1:26" s="24" customFormat="1" hidden="1" outlineLevel="2" x14ac:dyDescent="0.25">
      <c r="A92" s="27"/>
      <c r="B92" s="11" t="str">
        <f>CONCATENATE("          ", "6275", " - ", "SUBSCRIPTIONS")</f>
        <v xml:space="preserve">          6275 - SUBSCRIPTIONS</v>
      </c>
      <c r="C92" s="11"/>
      <c r="D92" s="7"/>
      <c r="E92" s="2"/>
      <c r="F92" s="6">
        <f t="shared" si="52"/>
        <v>0</v>
      </c>
      <c r="G92" s="2"/>
      <c r="H92" s="7">
        <v>0</v>
      </c>
      <c r="I92" s="2"/>
      <c r="J92" s="6">
        <f t="shared" si="53"/>
        <v>0</v>
      </c>
      <c r="K92" s="2"/>
      <c r="L92" s="7">
        <f t="shared" si="54"/>
        <v>0</v>
      </c>
      <c r="M92" s="2"/>
      <c r="N92" s="6">
        <f t="shared" si="55"/>
        <v>0</v>
      </c>
      <c r="O92" s="11"/>
      <c r="P92" s="7"/>
      <c r="Q92" s="2"/>
      <c r="R92" s="6">
        <f t="shared" si="56"/>
        <v>0</v>
      </c>
      <c r="S92" s="2"/>
      <c r="T92" s="7">
        <v>0</v>
      </c>
      <c r="U92" s="2"/>
      <c r="V92" s="6">
        <f t="shared" si="57"/>
        <v>0</v>
      </c>
      <c r="W92" s="2"/>
      <c r="X92" s="7">
        <f t="shared" si="58"/>
        <v>0</v>
      </c>
      <c r="Y92" s="2"/>
      <c r="Z92" s="6">
        <f t="shared" si="59"/>
        <v>0</v>
      </c>
    </row>
    <row r="93" spans="1:26" s="28" customFormat="1" outlineLevel="1" collapsed="1" x14ac:dyDescent="0.25">
      <c r="A93" s="29"/>
      <c r="B93" s="14" t="str">
        <f>CONCATENATE("     ","Supplies                                          ")</f>
        <v xml:space="preserve">     Supplies                                          </v>
      </c>
      <c r="C93" s="14"/>
      <c r="D93" s="1">
        <f>SUM(OSRRefD22_14x_0)</f>
        <v>1228.48</v>
      </c>
      <c r="E93" s="1"/>
      <c r="F93" s="5">
        <f t="shared" ref="F93:F96" si="60">IF(D$12=0,0,D93/D$12)</f>
        <v>2.7319182870715782E-3</v>
      </c>
      <c r="G93" s="1"/>
      <c r="H93" s="1">
        <f>SUM(OSRRefH22_14x_0)</f>
        <v>75</v>
      </c>
      <c r="I93" s="1"/>
      <c r="J93" s="5">
        <f t="shared" ref="J93:J96" si="61">IF(H$12=0,0,H93/H$12)</f>
        <v>3.2659815363177147E-4</v>
      </c>
      <c r="K93" s="1"/>
      <c r="L93" s="1">
        <f t="shared" ref="L93:L96" si="62">+D93-H93</f>
        <v>1153.48</v>
      </c>
      <c r="M93" s="1"/>
      <c r="N93" s="5">
        <f t="shared" ref="N93:N96" si="63">IF(H93=0,0,L93/H93)</f>
        <v>15.379733333333334</v>
      </c>
      <c r="O93" s="14"/>
      <c r="P93" s="1">
        <f>SUM(OSRRefP22_14x_0)</f>
        <v>6884.03</v>
      </c>
      <c r="Q93" s="1"/>
      <c r="R93" s="5">
        <f t="shared" ref="R93:R96" si="64">IF(P$12=0,0,P93/P$12)</f>
        <v>5.4869553624735945E-3</v>
      </c>
      <c r="S93" s="1"/>
      <c r="T93" s="1">
        <f>SUM(OSRRefT22_14x_0)</f>
        <v>300</v>
      </c>
      <c r="U93" s="1"/>
      <c r="V93" s="5">
        <f t="shared" ref="V93:V96" si="65">IF(T$12=0,0,T93/T$12)</f>
        <v>2.774476664339189E-4</v>
      </c>
      <c r="W93" s="1"/>
      <c r="X93" s="1">
        <f t="shared" ref="X93:X96" si="66">+P93-T93</f>
        <v>6584.03</v>
      </c>
      <c r="Y93" s="1"/>
      <c r="Z93" s="5">
        <f t="shared" ref="Z93:Z96" si="67">IF(T93=0,0,X93/T93)</f>
        <v>21.946766666666665</v>
      </c>
    </row>
    <row r="94" spans="1:26" s="24" customFormat="1" hidden="1" outlineLevel="2" x14ac:dyDescent="0.25">
      <c r="A94" s="27"/>
      <c r="B94" s="11" t="str">
        <f>CONCATENATE("          ", "6235", " - ", "COVID-19 EXPENSES")</f>
        <v xml:space="preserve">          6235 - COVID-19 EXPENSES</v>
      </c>
      <c r="C94" s="11"/>
      <c r="D94" s="7"/>
      <c r="E94" s="2"/>
      <c r="F94" s="6">
        <f t="shared" si="60"/>
        <v>0</v>
      </c>
      <c r="G94" s="2"/>
      <c r="H94" s="7">
        <v>0</v>
      </c>
      <c r="I94" s="2"/>
      <c r="J94" s="6">
        <f t="shared" si="61"/>
        <v>0</v>
      </c>
      <c r="K94" s="2"/>
      <c r="L94" s="7">
        <f t="shared" si="62"/>
        <v>0</v>
      </c>
      <c r="M94" s="2"/>
      <c r="N94" s="6">
        <f t="shared" si="63"/>
        <v>0</v>
      </c>
      <c r="O94" s="11"/>
      <c r="P94" s="7"/>
      <c r="Q94" s="2"/>
      <c r="R94" s="6">
        <f t="shared" si="64"/>
        <v>0</v>
      </c>
      <c r="S94" s="2"/>
      <c r="T94" s="7">
        <v>0</v>
      </c>
      <c r="U94" s="2"/>
      <c r="V94" s="6">
        <f t="shared" si="65"/>
        <v>0</v>
      </c>
      <c r="W94" s="2"/>
      <c r="X94" s="7">
        <f t="shared" si="66"/>
        <v>0</v>
      </c>
      <c r="Y94" s="2"/>
      <c r="Z94" s="6">
        <f t="shared" si="67"/>
        <v>0</v>
      </c>
    </row>
    <row r="95" spans="1:26" s="24" customFormat="1" hidden="1" outlineLevel="2" x14ac:dyDescent="0.25">
      <c r="A95" s="27"/>
      <c r="B95" s="11" t="str">
        <f>CONCATENATE("          ", "6241", " - ", "OFFICE EXPENSE")</f>
        <v xml:space="preserve">          6241 - OFFICE EXPENSE</v>
      </c>
      <c r="C95" s="11"/>
      <c r="D95" s="7">
        <v>269.39</v>
      </c>
      <c r="E95" s="2"/>
      <c r="F95" s="6">
        <f t="shared" si="60"/>
        <v>5.9907484643967541E-4</v>
      </c>
      <c r="G95" s="2"/>
      <c r="H95" s="7">
        <v>25</v>
      </c>
      <c r="I95" s="2"/>
      <c r="J95" s="6">
        <f t="shared" si="61"/>
        <v>1.0886605121059049E-4</v>
      </c>
      <c r="K95" s="2"/>
      <c r="L95" s="7">
        <f t="shared" si="62"/>
        <v>244.39</v>
      </c>
      <c r="M95" s="2"/>
      <c r="N95" s="6">
        <f t="shared" si="63"/>
        <v>9.775599999999999</v>
      </c>
      <c r="O95" s="11"/>
      <c r="P95" s="7">
        <v>666.88</v>
      </c>
      <c r="Q95" s="2"/>
      <c r="R95" s="6">
        <f t="shared" si="64"/>
        <v>5.3154050637873316E-4</v>
      </c>
      <c r="S95" s="2"/>
      <c r="T95" s="7">
        <v>100</v>
      </c>
      <c r="U95" s="2"/>
      <c r="V95" s="6">
        <f t="shared" si="65"/>
        <v>9.2482555477972972E-5</v>
      </c>
      <c r="W95" s="2"/>
      <c r="X95" s="7">
        <f t="shared" si="66"/>
        <v>566.88</v>
      </c>
      <c r="Y95" s="2"/>
      <c r="Z95" s="6">
        <f t="shared" si="67"/>
        <v>5.6688000000000001</v>
      </c>
    </row>
    <row r="96" spans="1:26" s="24" customFormat="1" hidden="1" outlineLevel="2" x14ac:dyDescent="0.25">
      <c r="A96" s="27"/>
      <c r="B96" s="11" t="str">
        <f>CONCATENATE("          ", "6247", " - ", "STORE SUPPLIES")</f>
        <v xml:space="preserve">          6247 - STORE SUPPLIES</v>
      </c>
      <c r="C96" s="11"/>
      <c r="D96" s="7">
        <v>959.09</v>
      </c>
      <c r="E96" s="2"/>
      <c r="F96" s="6">
        <f t="shared" si="60"/>
        <v>2.1328434406319031E-3</v>
      </c>
      <c r="G96" s="2"/>
      <c r="H96" s="7">
        <v>50</v>
      </c>
      <c r="I96" s="2"/>
      <c r="J96" s="6">
        <f t="shared" si="61"/>
        <v>2.1773210242118099E-4</v>
      </c>
      <c r="K96" s="2"/>
      <c r="L96" s="7">
        <f t="shared" si="62"/>
        <v>909.09</v>
      </c>
      <c r="M96" s="2"/>
      <c r="N96" s="6">
        <f t="shared" si="63"/>
        <v>18.181799999999999</v>
      </c>
      <c r="O96" s="11"/>
      <c r="P96" s="7">
        <v>6217.15</v>
      </c>
      <c r="Q96" s="2"/>
      <c r="R96" s="6">
        <f t="shared" si="64"/>
        <v>4.9554148560948608E-3</v>
      </c>
      <c r="S96" s="2"/>
      <c r="T96" s="7">
        <v>200</v>
      </c>
      <c r="U96" s="2"/>
      <c r="V96" s="6">
        <f t="shared" si="65"/>
        <v>1.8496511095594594E-4</v>
      </c>
      <c r="W96" s="2"/>
      <c r="X96" s="7">
        <f t="shared" si="66"/>
        <v>6017.15</v>
      </c>
      <c r="Y96" s="2"/>
      <c r="Z96" s="6">
        <f t="shared" si="67"/>
        <v>30.085749999999997</v>
      </c>
    </row>
    <row r="97" spans="1:26" s="28" customFormat="1" outlineLevel="1" collapsed="1" x14ac:dyDescent="0.25">
      <c r="A97" s="29"/>
      <c r="B97" s="14" t="str">
        <f>CONCATENATE("     ","Telephone/Data Lines                              ")</f>
        <v xml:space="preserve">     Telephone/Data Lines                              </v>
      </c>
      <c r="C97" s="14"/>
      <c r="D97" s="1">
        <f>SUM(OSRRefD22_15x_0)</f>
        <v>405.45</v>
      </c>
      <c r="E97" s="1"/>
      <c r="F97" s="5">
        <f t="shared" ref="F97:F100" si="68">IF(D$12=0,0,D97/D$12)</f>
        <v>9.0164778384114628E-4</v>
      </c>
      <c r="G97" s="1"/>
      <c r="H97" s="1">
        <f>SUM(OSRRefH22_15x_0)</f>
        <v>300</v>
      </c>
      <c r="I97" s="1"/>
      <c r="J97" s="5">
        <f t="shared" ref="J97:J100" si="69">IF(H$12=0,0,H97/H$12)</f>
        <v>1.3063926145270859E-3</v>
      </c>
      <c r="K97" s="1"/>
      <c r="L97" s="1">
        <f t="shared" ref="L97:L100" si="70">+D97-H97</f>
        <v>105.44999999999999</v>
      </c>
      <c r="M97" s="1"/>
      <c r="N97" s="5">
        <f t="shared" ref="N97:N100" si="71">IF(H97=0,0,L97/H97)</f>
        <v>0.35149999999999998</v>
      </c>
      <c r="O97" s="14"/>
      <c r="P97" s="1">
        <f>SUM(OSRRefP22_15x_0)</f>
        <v>790.6</v>
      </c>
      <c r="Q97" s="1"/>
      <c r="R97" s="5">
        <f t="shared" ref="R97:R100" si="72">IF(P$12=0,0,P97/P$12)</f>
        <v>6.3015223779844416E-4</v>
      </c>
      <c r="S97" s="1"/>
      <c r="T97" s="1">
        <f>SUM(OSRRefT22_15x_0)</f>
        <v>1200</v>
      </c>
      <c r="U97" s="1"/>
      <c r="V97" s="5">
        <f t="shared" ref="V97:V100" si="73">IF(T$12=0,0,T97/T$12)</f>
        <v>1.1097906657356756E-3</v>
      </c>
      <c r="W97" s="1"/>
      <c r="X97" s="1">
        <f t="shared" ref="X97:X100" si="74">+P97-T97</f>
        <v>-409.4</v>
      </c>
      <c r="Y97" s="1"/>
      <c r="Z97" s="5">
        <f t="shared" ref="Z97:Z100" si="75">IF(T97=0,0,X97/T97)</f>
        <v>-0.34116666666666667</v>
      </c>
    </row>
    <row r="98" spans="1:26" s="24" customFormat="1" hidden="1" outlineLevel="2" x14ac:dyDescent="0.25">
      <c r="A98" s="27"/>
      <c r="B98" s="11" t="str">
        <f>CONCATENATE("          ", "6309", " - ", "TELEPHONE")</f>
        <v xml:space="preserve">          6309 - TELEPHONE</v>
      </c>
      <c r="C98" s="11"/>
      <c r="D98" s="7">
        <v>405.45</v>
      </c>
      <c r="E98" s="2"/>
      <c r="F98" s="6">
        <f t="shared" si="68"/>
        <v>9.0164778384114628E-4</v>
      </c>
      <c r="G98" s="2"/>
      <c r="H98" s="7">
        <v>300</v>
      </c>
      <c r="I98" s="2"/>
      <c r="J98" s="6">
        <f t="shared" si="69"/>
        <v>1.3063926145270859E-3</v>
      </c>
      <c r="K98" s="2"/>
      <c r="L98" s="7">
        <f t="shared" si="70"/>
        <v>105.44999999999999</v>
      </c>
      <c r="M98" s="2"/>
      <c r="N98" s="6">
        <f t="shared" si="71"/>
        <v>0.35149999999999998</v>
      </c>
      <c r="O98" s="11"/>
      <c r="P98" s="7">
        <v>790.6</v>
      </c>
      <c r="Q98" s="2"/>
      <c r="R98" s="6">
        <f t="shared" si="72"/>
        <v>6.3015223779844416E-4</v>
      </c>
      <c r="S98" s="2"/>
      <c r="T98" s="7">
        <v>1200</v>
      </c>
      <c r="U98" s="2"/>
      <c r="V98" s="6">
        <f t="shared" si="73"/>
        <v>1.1097906657356756E-3</v>
      </c>
      <c r="W98" s="2"/>
      <c r="X98" s="7">
        <f t="shared" si="74"/>
        <v>-409.4</v>
      </c>
      <c r="Y98" s="2"/>
      <c r="Z98" s="6">
        <f t="shared" si="75"/>
        <v>-0.34116666666666667</v>
      </c>
    </row>
    <row r="99" spans="1:26" s="28" customFormat="1" outlineLevel="1" collapsed="1" x14ac:dyDescent="0.25">
      <c r="A99" s="29"/>
      <c r="B99" s="14" t="str">
        <f>CONCATENATE("     ","Travel                                            ")</f>
        <v xml:space="preserve">     Travel                                            </v>
      </c>
      <c r="C99" s="14"/>
      <c r="D99" s="1">
        <f>SUM(OSRRefD22_16x_0)</f>
        <v>0</v>
      </c>
      <c r="E99" s="1"/>
      <c r="F99" s="5">
        <f t="shared" si="68"/>
        <v>0</v>
      </c>
      <c r="G99" s="1"/>
      <c r="H99" s="1">
        <f>SUM(OSRRefH22_16x_0)</f>
        <v>25</v>
      </c>
      <c r="I99" s="1"/>
      <c r="J99" s="5">
        <f t="shared" si="69"/>
        <v>1.0886605121059049E-4</v>
      </c>
      <c r="K99" s="1"/>
      <c r="L99" s="1">
        <f t="shared" si="70"/>
        <v>-25</v>
      </c>
      <c r="M99" s="1"/>
      <c r="N99" s="5">
        <f t="shared" si="71"/>
        <v>-1</v>
      </c>
      <c r="O99" s="14"/>
      <c r="P99" s="1">
        <f>SUM(OSRRefP22_16x_0)</f>
        <v>40.32</v>
      </c>
      <c r="Q99" s="1"/>
      <c r="R99" s="5">
        <f t="shared" si="72"/>
        <v>3.2137285894299609E-5</v>
      </c>
      <c r="S99" s="1"/>
      <c r="T99" s="1">
        <f>SUM(OSRRefT22_16x_0)</f>
        <v>100</v>
      </c>
      <c r="U99" s="1"/>
      <c r="V99" s="5">
        <f t="shared" si="73"/>
        <v>9.2482555477972972E-5</v>
      </c>
      <c r="W99" s="1"/>
      <c r="X99" s="1">
        <f t="shared" si="74"/>
        <v>-59.68</v>
      </c>
      <c r="Y99" s="1"/>
      <c r="Z99" s="5">
        <f t="shared" si="75"/>
        <v>-0.5968</v>
      </c>
    </row>
    <row r="100" spans="1:26" s="24" customFormat="1" hidden="1" outlineLevel="2" x14ac:dyDescent="0.25">
      <c r="A100" s="27"/>
      <c r="B100" s="11" t="str">
        <f>CONCATENATE("          ", "6294", " - ", "TRAVEL OPERATIONAL")</f>
        <v xml:space="preserve">          6294 - TRAVEL OPERATIONAL</v>
      </c>
      <c r="C100" s="11"/>
      <c r="D100" s="7"/>
      <c r="E100" s="2"/>
      <c r="F100" s="6">
        <f t="shared" si="68"/>
        <v>0</v>
      </c>
      <c r="G100" s="2"/>
      <c r="H100" s="7">
        <v>25</v>
      </c>
      <c r="I100" s="2"/>
      <c r="J100" s="6">
        <f t="shared" si="69"/>
        <v>1.0886605121059049E-4</v>
      </c>
      <c r="K100" s="2"/>
      <c r="L100" s="7">
        <f t="shared" si="70"/>
        <v>-25</v>
      </c>
      <c r="M100" s="2"/>
      <c r="N100" s="6">
        <f t="shared" si="71"/>
        <v>-1</v>
      </c>
      <c r="O100" s="11"/>
      <c r="P100" s="7">
        <v>40.32</v>
      </c>
      <c r="Q100" s="2"/>
      <c r="R100" s="6">
        <f t="shared" si="72"/>
        <v>3.2137285894299609E-5</v>
      </c>
      <c r="S100" s="2"/>
      <c r="T100" s="7">
        <v>100</v>
      </c>
      <c r="U100" s="2"/>
      <c r="V100" s="6">
        <f t="shared" si="73"/>
        <v>9.2482555477972972E-5</v>
      </c>
      <c r="W100" s="2"/>
      <c r="X100" s="7">
        <f t="shared" si="74"/>
        <v>-59.68</v>
      </c>
      <c r="Y100" s="2"/>
      <c r="Z100" s="6">
        <f t="shared" si="75"/>
        <v>-0.5968</v>
      </c>
    </row>
    <row r="101" spans="1:26" s="60" customFormat="1" x14ac:dyDescent="0.25">
      <c r="A101" s="36"/>
      <c r="B101" s="36"/>
      <c r="C101" s="36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6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collapsed="1" x14ac:dyDescent="0.25">
      <c r="A102" s="10"/>
      <c r="B102" s="25" t="s">
        <v>293</v>
      </c>
      <c r="C102" s="10"/>
      <c r="D102" s="4">
        <f>SUM(OSRRefD25x_0)</f>
        <v>27298.799999999999</v>
      </c>
      <c r="E102" s="4"/>
      <c r="F102" s="12">
        <f t="shared" ref="F102:F105" si="76">IF(D$12=0,0,D102/D$12)</f>
        <v>6.0707615048767254E-2</v>
      </c>
      <c r="G102" s="4"/>
      <c r="H102" s="4">
        <f>SUM(OSRRefH25x_0)</f>
        <v>20980</v>
      </c>
      <c r="I102" s="4"/>
      <c r="J102" s="12">
        <f t="shared" ref="J102:J105" si="77">IF(H$12=0,0,H102/H$12)</f>
        <v>9.1360390175927536E-2</v>
      </c>
      <c r="K102" s="4"/>
      <c r="L102" s="4">
        <f t="shared" ref="L102:L105" si="78">+D102-H102</f>
        <v>6318.7999999999993</v>
      </c>
      <c r="M102" s="4"/>
      <c r="N102" s="12">
        <f t="shared" ref="N102:N105" si="79">IF(H102=0,0,L102/H102)</f>
        <v>0.3011820781696854</v>
      </c>
      <c r="O102" s="10"/>
      <c r="P102" s="4">
        <f>SUM(OSRRefP25x_0)</f>
        <v>119063.12</v>
      </c>
      <c r="Q102" s="4"/>
      <c r="R102" s="12">
        <f t="shared" ref="R102:R105" si="80">IF(P$12=0,0,P102/P$12)</f>
        <v>9.4899938663375524E-2</v>
      </c>
      <c r="S102" s="4"/>
      <c r="T102" s="4">
        <f>SUM(OSRRefT25x_0)</f>
        <v>32324</v>
      </c>
      <c r="U102" s="4"/>
      <c r="V102" s="12">
        <f t="shared" ref="V102:V105" si="81">IF(T$12=0,0,T102/T$12)</f>
        <v>2.989406123269998E-2</v>
      </c>
      <c r="W102" s="4"/>
      <c r="X102" s="4">
        <f t="shared" ref="X102:X105" si="82">+P102-T102</f>
        <v>86739.12</v>
      </c>
      <c r="Y102" s="4"/>
      <c r="Z102" s="12">
        <f t="shared" ref="Z102:Z105" si="83">IF(T102=0,0,X102/T102)</f>
        <v>2.6834277935899022</v>
      </c>
    </row>
    <row r="103" spans="1:26" s="24" customFormat="1" hidden="1" outlineLevel="1" x14ac:dyDescent="0.25">
      <c r="A103" s="44"/>
      <c r="B103" s="11" t="str">
        <f>CONCATENATE("          ", "9150", " - ", "MISC. INCOME")</f>
        <v xml:space="preserve">          9150 - MISC. INCOME</v>
      </c>
      <c r="C103" s="11"/>
      <c r="D103" s="2">
        <f>--17561.84</f>
        <v>17561.84</v>
      </c>
      <c r="E103" s="2"/>
      <c r="F103" s="19">
        <f t="shared" si="76"/>
        <v>3.9054369505913913E-2</v>
      </c>
      <c r="G103" s="2"/>
      <c r="H103" s="2">
        <v>20980</v>
      </c>
      <c r="I103" s="2"/>
      <c r="J103" s="19">
        <f t="shared" si="77"/>
        <v>9.1360390175927536E-2</v>
      </c>
      <c r="K103" s="2"/>
      <c r="L103" s="2">
        <f t="shared" si="78"/>
        <v>-3418.16</v>
      </c>
      <c r="M103" s="2"/>
      <c r="N103" s="19">
        <f t="shared" si="79"/>
        <v>-0.16292469018112488</v>
      </c>
      <c r="O103" s="11"/>
      <c r="P103" s="2">
        <f>--46314.92</f>
        <v>46314.92</v>
      </c>
      <c r="Q103" s="2"/>
      <c r="R103" s="19">
        <f t="shared" si="80"/>
        <v>3.6915571061796E-2</v>
      </c>
      <c r="S103" s="2"/>
      <c r="T103" s="2">
        <v>32324</v>
      </c>
      <c r="U103" s="2"/>
      <c r="V103" s="19">
        <f t="shared" si="81"/>
        <v>2.989406123269998E-2</v>
      </c>
      <c r="W103" s="2"/>
      <c r="X103" s="2">
        <f t="shared" si="82"/>
        <v>13990.919999999998</v>
      </c>
      <c r="Y103" s="2"/>
      <c r="Z103" s="19">
        <f t="shared" si="83"/>
        <v>0.43283380769706714</v>
      </c>
    </row>
    <row r="104" spans="1:26" s="24" customFormat="1" hidden="1" outlineLevel="1" x14ac:dyDescent="0.25">
      <c r="A104" s="44"/>
      <c r="B104" s="11" t="str">
        <f>CONCATENATE("          ", "9160", " - ", "MISC. INCOME")</f>
        <v xml:space="preserve">          9160 - MISC. INCOME</v>
      </c>
      <c r="C104" s="11"/>
      <c r="D104" s="2">
        <f>0</f>
        <v>0</v>
      </c>
      <c r="E104" s="2"/>
      <c r="F104" s="19">
        <f t="shared" si="76"/>
        <v>0</v>
      </c>
      <c r="G104" s="2"/>
      <c r="H104" s="2"/>
      <c r="I104" s="2"/>
      <c r="J104" s="19">
        <f t="shared" si="77"/>
        <v>0</v>
      </c>
      <c r="K104" s="2"/>
      <c r="L104" s="2">
        <f t="shared" si="78"/>
        <v>0</v>
      </c>
      <c r="M104" s="2"/>
      <c r="N104" s="19">
        <f t="shared" si="79"/>
        <v>0</v>
      </c>
      <c r="O104" s="11"/>
      <c r="P104" s="2">
        <f>0</f>
        <v>0</v>
      </c>
      <c r="Q104" s="2"/>
      <c r="R104" s="19">
        <f t="shared" si="80"/>
        <v>0</v>
      </c>
      <c r="S104" s="2"/>
      <c r="T104" s="2">
        <v>0</v>
      </c>
      <c r="U104" s="2"/>
      <c r="V104" s="19">
        <f t="shared" si="81"/>
        <v>0</v>
      </c>
      <c r="W104" s="2"/>
      <c r="X104" s="2">
        <f t="shared" si="82"/>
        <v>0</v>
      </c>
      <c r="Y104" s="2"/>
      <c r="Z104" s="19">
        <f t="shared" si="83"/>
        <v>0</v>
      </c>
    </row>
    <row r="105" spans="1:26" s="24" customFormat="1" hidden="1" outlineLevel="1" x14ac:dyDescent="0.25">
      <c r="A105" s="44"/>
      <c r="B105" s="11" t="str">
        <f>CONCATENATE("          ", "9163", " - ", "MISC. INCOME")</f>
        <v xml:space="preserve">          9163 - MISC. INCOME</v>
      </c>
      <c r="C105" s="11"/>
      <c r="D105" s="2">
        <f>--9736.96</f>
        <v>9736.9599999999991</v>
      </c>
      <c r="E105" s="2"/>
      <c r="F105" s="19">
        <f t="shared" si="76"/>
        <v>2.165324554285334E-2</v>
      </c>
      <c r="G105" s="2"/>
      <c r="H105" s="2"/>
      <c r="I105" s="2"/>
      <c r="J105" s="19">
        <f t="shared" si="77"/>
        <v>0</v>
      </c>
      <c r="K105" s="2"/>
      <c r="L105" s="2">
        <f t="shared" si="78"/>
        <v>9736.9599999999991</v>
      </c>
      <c r="M105" s="2"/>
      <c r="N105" s="19">
        <f t="shared" si="79"/>
        <v>0</v>
      </c>
      <c r="O105" s="11"/>
      <c r="P105" s="2">
        <f>--72748.2</f>
        <v>72748.2</v>
      </c>
      <c r="Q105" s="2"/>
      <c r="R105" s="19">
        <f t="shared" si="80"/>
        <v>5.7984367601579531E-2</v>
      </c>
      <c r="S105" s="2"/>
      <c r="T105" s="2"/>
      <c r="U105" s="2"/>
      <c r="V105" s="19">
        <f t="shared" si="81"/>
        <v>0</v>
      </c>
      <c r="W105" s="2"/>
      <c r="X105" s="2">
        <f t="shared" si="82"/>
        <v>72748.2</v>
      </c>
      <c r="Y105" s="2"/>
      <c r="Z105" s="19">
        <f t="shared" si="83"/>
        <v>0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6" t="s">
        <v>277</v>
      </c>
      <c r="C107" s="26"/>
      <c r="D107" s="21">
        <f>+D40-D42+D102</f>
        <v>129774.58000000002</v>
      </c>
      <c r="E107" s="13"/>
      <c r="F107" s="20">
        <f>IF(D$12=0,0,D107/D$12)</f>
        <v>0.28859529524211508</v>
      </c>
      <c r="G107" s="13"/>
      <c r="H107" s="21">
        <f>+H40-H42+H102</f>
        <v>34311.037872596149</v>
      </c>
      <c r="I107" s="13"/>
      <c r="J107" s="20">
        <f>IF(H$12=0,0,H107/H$12)</f>
        <v>0.14941228824506247</v>
      </c>
      <c r="K107" s="15"/>
      <c r="L107" s="21">
        <f>+D107-H107</f>
        <v>95463.542127403867</v>
      </c>
      <c r="M107" s="15"/>
      <c r="N107" s="20">
        <f>IF(H107=0,0,L107/H107)</f>
        <v>2.7822982936826155</v>
      </c>
      <c r="O107" s="25"/>
      <c r="P107" s="21">
        <f>+P40-P42+P102</f>
        <v>429639.99000000005</v>
      </c>
      <c r="Q107" s="13"/>
      <c r="R107" s="20">
        <f>IF(P$12=0,0,P107/P$12)</f>
        <v>0.34244700372653836</v>
      </c>
      <c r="S107" s="13"/>
      <c r="T107" s="21">
        <f>+T40-T42+T102</f>
        <v>190903.84934134607</v>
      </c>
      <c r="U107" s="13"/>
      <c r="V107" s="20">
        <f>IF(T$12=0,0,T107/T$12)</f>
        <v>0.17655275837669632</v>
      </c>
      <c r="W107" s="15"/>
      <c r="X107" s="21">
        <f>+P107-T107</f>
        <v>238736.14065865398</v>
      </c>
      <c r="Y107" s="15"/>
      <c r="Z107" s="20">
        <f>IF(T107=0,0,X107/T107)</f>
        <v>1.250556976626392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2"/>
      <c r="B109" s="10" t="s">
        <v>128</v>
      </c>
      <c r="C109" s="10"/>
      <c r="D109" s="4">
        <v>45391.360000000001</v>
      </c>
      <c r="E109" s="4"/>
      <c r="F109" s="12">
        <f>IF(D$12=0,0,D109/D$12)</f>
        <v>0.10094221025905944</v>
      </c>
      <c r="G109" s="4"/>
      <c r="H109" s="4">
        <v>31862</v>
      </c>
      <c r="I109" s="4"/>
      <c r="J109" s="12">
        <f>IF(H$12=0,0,H109/H$12)</f>
        <v>0.13874760494687335</v>
      </c>
      <c r="K109" s="4"/>
      <c r="L109" s="4">
        <f>+D109-H109</f>
        <v>13529.36</v>
      </c>
      <c r="M109" s="4"/>
      <c r="N109" s="12">
        <f>IF(H109=0,0,L109/H109)</f>
        <v>0.42462368966166597</v>
      </c>
      <c r="O109" s="10"/>
      <c r="P109" s="4">
        <v>145023.41</v>
      </c>
      <c r="Q109" s="4"/>
      <c r="R109" s="12">
        <f>IF(P$12=0,0,P109/P$12)</f>
        <v>0.11559173582679139</v>
      </c>
      <c r="S109" s="4"/>
      <c r="T109" s="4">
        <v>124338</v>
      </c>
      <c r="U109" s="4"/>
      <c r="V109" s="12">
        <f>IF(T$12=0,0,T109/T$12)</f>
        <v>0.11499095983020202</v>
      </c>
      <c r="W109" s="4"/>
      <c r="X109" s="4">
        <f>+P109-T109</f>
        <v>20685.410000000003</v>
      </c>
      <c r="Y109" s="4"/>
      <c r="Z109" s="12">
        <f>IF(T109=0,0,X109/T109)</f>
        <v>0.16636434557416077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6" t="s">
        <v>126</v>
      </c>
      <c r="C111" s="26"/>
      <c r="D111" s="31">
        <f>+D107-D109</f>
        <v>84383.220000000016</v>
      </c>
      <c r="E111" s="13"/>
      <c r="F111" s="33">
        <f>IF(D$12=0,0,D111/D$12)</f>
        <v>0.18765308498305563</v>
      </c>
      <c r="G111" s="13"/>
      <c r="H111" s="31">
        <f>+H107-H109</f>
        <v>2449.0378725961491</v>
      </c>
      <c r="I111" s="13"/>
      <c r="J111" s="33">
        <f>IF(H$12=0,0,H111/H$12)</f>
        <v>1.0664683298189119E-2</v>
      </c>
      <c r="K111" s="15"/>
      <c r="L111" s="31">
        <f>D111-H111</f>
        <v>81934.182127403867</v>
      </c>
      <c r="M111" s="15"/>
      <c r="N111" s="33">
        <f>IF(H111=0,0,L111/H111)</f>
        <v>33.455661524967752</v>
      </c>
      <c r="O111" s="25"/>
      <c r="P111" s="31">
        <f>+P107-P109</f>
        <v>284616.58000000007</v>
      </c>
      <c r="Q111" s="13"/>
      <c r="R111" s="33">
        <f>IF(P$12=0,0,P111/P$12)</f>
        <v>0.22685526789974697</v>
      </c>
      <c r="S111" s="13"/>
      <c r="T111" s="31">
        <f>+T107-T109</f>
        <v>66565.849341346067</v>
      </c>
      <c r="U111" s="13"/>
      <c r="V111" s="33">
        <f>IF(T$12=0,0,T111/T$12)</f>
        <v>6.1561798546494281E-2</v>
      </c>
      <c r="W111" s="15"/>
      <c r="X111" s="31">
        <f>P111-T111</f>
        <v>218050.73065865401</v>
      </c>
      <c r="Y111" s="15"/>
      <c r="Z111" s="33">
        <f>IF(T111=0,0,X111/T111)</f>
        <v>3.2757146917858986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6" t="s">
        <v>294</v>
      </c>
      <c r="C114" s="26"/>
      <c r="D114" s="35">
        <f>SUM(D111:D113)</f>
        <v>84383.220000000016</v>
      </c>
      <c r="E114" s="13"/>
      <c r="F114" s="32">
        <f>IF(D$12=0,0,D114/D$12)</f>
        <v>0.18765308498305563</v>
      </c>
      <c r="G114" s="13"/>
      <c r="H114" s="35">
        <f>SUM(H111:H113)</f>
        <v>2449.0378725961491</v>
      </c>
      <c r="I114" s="13"/>
      <c r="J114" s="32">
        <f>IF(H$12=0,0,H114/H$12)</f>
        <v>1.0664683298189119E-2</v>
      </c>
      <c r="K114" s="15"/>
      <c r="L114" s="35">
        <f>+D114-H114</f>
        <v>81934.182127403867</v>
      </c>
      <c r="M114" s="15"/>
      <c r="N114" s="32">
        <f>IF(H114=0,0,L114/H114)</f>
        <v>33.455661524967752</v>
      </c>
      <c r="O114" s="25"/>
      <c r="P114" s="35">
        <f>SUM(P111:P113)</f>
        <v>284616.58000000007</v>
      </c>
      <c r="Q114" s="13"/>
      <c r="R114" s="32">
        <f>IF(P$12=0,0,P114/P$12)</f>
        <v>0.22685526789974697</v>
      </c>
      <c r="S114" s="13"/>
      <c r="T114" s="35">
        <f>SUM(T111:T113)</f>
        <v>66565.849341346067</v>
      </c>
      <c r="U114" s="13"/>
      <c r="V114" s="32">
        <f>IF(T$12=0,0,T114/T$12)</f>
        <v>6.1561798546494281E-2</v>
      </c>
      <c r="W114" s="15"/>
      <c r="X114" s="35">
        <f>+P114-T114</f>
        <v>218050.73065865401</v>
      </c>
      <c r="Y114" s="15"/>
      <c r="Z114" s="32">
        <f>IF(T114=0,0,X114/T114)</f>
        <v>3.2757146917858986</v>
      </c>
    </row>
    <row r="115" spans="1:26" ht="15.75" thickTop="1" x14ac:dyDescent="0.25">
      <c r="A115" s="9"/>
      <c r="C115" s="9"/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6" x14ac:dyDescent="0.25">
      <c r="A116" s="9"/>
      <c r="B116" s="59">
        <v>44517.962875613426</v>
      </c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6" x14ac:dyDescent="0.25">
      <c r="A117" s="9"/>
      <c r="B117" s="62" t="s">
        <v>56</v>
      </c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57"/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","326", " - ", "2nd Street Store")</f>
        <v>Department 326 - 2nd Street Store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28354.14</v>
      </c>
      <c r="E12" s="4"/>
      <c r="F12" s="12"/>
      <c r="G12" s="4"/>
      <c r="H12" s="4">
        <f>SUM(OSRRefH13x_0)</f>
        <v>22114</v>
      </c>
      <c r="I12" s="4"/>
      <c r="J12" s="12"/>
      <c r="K12" s="4"/>
      <c r="L12" s="4">
        <f t="shared" ref="L12:L16" si="0">+D12-H12</f>
        <v>6240.1399999999994</v>
      </c>
      <c r="M12" s="4"/>
      <c r="N12" s="12">
        <f t="shared" ref="N12:N16" si="1">IF(H12=0,0,L12/H12)</f>
        <v>0.28218051912815406</v>
      </c>
      <c r="O12" s="10"/>
      <c r="P12" s="4">
        <f>SUM(OSRRefP13x_0)</f>
        <v>117828.7</v>
      </c>
      <c r="Q12" s="4"/>
      <c r="R12" s="12"/>
      <c r="S12" s="4"/>
      <c r="T12" s="4">
        <f>SUM(OSRRefT13x_0)</f>
        <v>103247</v>
      </c>
      <c r="U12" s="4"/>
      <c r="V12" s="12"/>
      <c r="W12" s="4"/>
      <c r="X12" s="4">
        <f t="shared" ref="X12:X16" si="2">+P12-T12</f>
        <v>14581.699999999997</v>
      </c>
      <c r="Y12" s="4"/>
      <c r="Z12" s="12">
        <f t="shared" ref="Z12:Z16" si="3">IF(T12=0,0,X12/T12)</f>
        <v>0.14123122221468901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--29575.76</f>
        <v>29575.759999999998</v>
      </c>
      <c r="E13" s="2"/>
      <c r="F13" s="19"/>
      <c r="G13" s="2"/>
      <c r="H13" s="2">
        <v>22114</v>
      </c>
      <c r="I13" s="2"/>
      <c r="J13" s="19"/>
      <c r="K13" s="2"/>
      <c r="L13" s="2">
        <f t="shared" si="0"/>
        <v>7461.7599999999984</v>
      </c>
      <c r="M13" s="2"/>
      <c r="N13" s="19">
        <f t="shared" si="1"/>
        <v>0.33742244731844073</v>
      </c>
      <c r="O13" s="11"/>
      <c r="P13" s="2">
        <f>--121629.9</f>
        <v>121629.9</v>
      </c>
      <c r="Q13" s="2"/>
      <c r="R13" s="19"/>
      <c r="S13" s="2"/>
      <c r="T13" s="2">
        <v>103247</v>
      </c>
      <c r="U13" s="2"/>
      <c r="V13" s="19"/>
      <c r="W13" s="2"/>
      <c r="X13" s="2">
        <f t="shared" si="2"/>
        <v>18382.899999999994</v>
      </c>
      <c r="Y13" s="2"/>
      <c r="Z13" s="19">
        <f t="shared" si="3"/>
        <v>0.17804778831346182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--108.3</f>
        <v>108.3</v>
      </c>
      <c r="E14" s="2"/>
      <c r="F14" s="19"/>
      <c r="G14" s="2"/>
      <c r="H14" s="2"/>
      <c r="I14" s="2"/>
      <c r="J14" s="19"/>
      <c r="K14" s="2"/>
      <c r="L14" s="2">
        <f t="shared" si="0"/>
        <v>108.3</v>
      </c>
      <c r="M14" s="2"/>
      <c r="N14" s="19">
        <f t="shared" si="1"/>
        <v>0</v>
      </c>
      <c r="O14" s="11"/>
      <c r="P14" s="2">
        <f>--134.1</f>
        <v>134.1</v>
      </c>
      <c r="Q14" s="2"/>
      <c r="R14" s="19"/>
      <c r="S14" s="2"/>
      <c r="T14" s="2"/>
      <c r="U14" s="2"/>
      <c r="V14" s="19"/>
      <c r="W14" s="2"/>
      <c r="X14" s="2">
        <f t="shared" si="2"/>
        <v>134.1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-992.14</f>
        <v>-992.14</v>
      </c>
      <c r="E15" s="2"/>
      <c r="F15" s="19"/>
      <c r="G15" s="2"/>
      <c r="H15" s="2"/>
      <c r="I15" s="2"/>
      <c r="J15" s="19"/>
      <c r="K15" s="2"/>
      <c r="L15" s="2">
        <f t="shared" si="0"/>
        <v>-992.14</v>
      </c>
      <c r="M15" s="2"/>
      <c r="N15" s="19">
        <f t="shared" si="1"/>
        <v>0</v>
      </c>
      <c r="O15" s="11"/>
      <c r="P15" s="2">
        <f>-3597.52</f>
        <v>-3597.52</v>
      </c>
      <c r="Q15" s="2"/>
      <c r="R15" s="19"/>
      <c r="S15" s="2"/>
      <c r="T15" s="2"/>
      <c r="U15" s="2"/>
      <c r="V15" s="19"/>
      <c r="W15" s="2"/>
      <c r="X15" s="2">
        <f t="shared" si="2"/>
        <v>-3597.52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"4500", " - ", "SALES DISCOUNT")</f>
        <v xml:space="preserve">          4500 - SALES DISCOUNT</v>
      </c>
      <c r="C16" s="11"/>
      <c r="D16" s="2">
        <f>-337.78</f>
        <v>-337.78</v>
      </c>
      <c r="E16" s="2"/>
      <c r="F16" s="19"/>
      <c r="G16" s="2"/>
      <c r="H16" s="2"/>
      <c r="I16" s="2"/>
      <c r="J16" s="19"/>
      <c r="K16" s="2"/>
      <c r="L16" s="2">
        <f t="shared" si="0"/>
        <v>-337.78</v>
      </c>
      <c r="M16" s="2"/>
      <c r="N16" s="19">
        <f t="shared" si="1"/>
        <v>0</v>
      </c>
      <c r="O16" s="11"/>
      <c r="P16" s="2">
        <f>-337.78</f>
        <v>-337.78</v>
      </c>
      <c r="Q16" s="2"/>
      <c r="R16" s="19"/>
      <c r="S16" s="2"/>
      <c r="T16" s="2"/>
      <c r="U16" s="2"/>
      <c r="V16" s="19"/>
      <c r="W16" s="2"/>
      <c r="X16" s="2">
        <f t="shared" si="2"/>
        <v>-337.78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257</v>
      </c>
      <c r="C18" s="10"/>
      <c r="D18" s="4">
        <f>SUM(OSRRefD16x_0)</f>
        <v>12923.67</v>
      </c>
      <c r="E18" s="4"/>
      <c r="F18" s="12">
        <f t="shared" ref="F18:F22" si="4">IF(D$12=0,0,D18/D$12)</f>
        <v>0.4557948151486873</v>
      </c>
      <c r="G18" s="4"/>
      <c r="H18" s="4">
        <f>SUM(OSRRefH16x_0)</f>
        <v>9952</v>
      </c>
      <c r="I18" s="4"/>
      <c r="J18" s="12">
        <f t="shared" ref="J18:J22" si="5">IF(H$12=0,0,H18/H$12)</f>
        <v>0.45003165415573843</v>
      </c>
      <c r="K18" s="4"/>
      <c r="L18" s="4">
        <f t="shared" ref="L18:L22" si="6">+D18-H18</f>
        <v>2971.67</v>
      </c>
      <c r="M18" s="4"/>
      <c r="N18" s="12">
        <f t="shared" ref="N18:N22" si="7">IF(H18=0,0,L18/H18)</f>
        <v>0.29860028135048233</v>
      </c>
      <c r="O18" s="10"/>
      <c r="P18" s="4">
        <f>SUM(OSRRefP16x_0)</f>
        <v>56489.88</v>
      </c>
      <c r="Q18" s="4"/>
      <c r="R18" s="12">
        <f t="shared" ref="R18:R22" si="8">IF(P$12=0,0,P18/P$12)</f>
        <v>0.47942377366465044</v>
      </c>
      <c r="S18" s="4"/>
      <c r="T18" s="4">
        <f>SUM(OSRRefT16x_0)</f>
        <v>46462</v>
      </c>
      <c r="U18" s="4"/>
      <c r="V18" s="12">
        <f t="shared" ref="V18:V22" si="9">IF(T$12=0,0,T18/T$12)</f>
        <v>0.45000823268472689</v>
      </c>
      <c r="W18" s="4"/>
      <c r="X18" s="4">
        <f t="shared" ref="X18:X22" si="10">+P18-T18</f>
        <v>10027.879999999997</v>
      </c>
      <c r="Y18" s="4"/>
      <c r="Z18" s="12">
        <f t="shared" ref="Z18:Z22" si="11">IF(T18=0,0,X18/T18)</f>
        <v>0.21582971030089099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507.6</v>
      </c>
      <c r="E19" s="2"/>
      <c r="F19" s="19">
        <f t="shared" si="4"/>
        <v>1.7902147622886819E-2</v>
      </c>
      <c r="G19" s="2"/>
      <c r="H19" s="2">
        <v>9952</v>
      </c>
      <c r="I19" s="2"/>
      <c r="J19" s="19">
        <f t="shared" si="5"/>
        <v>0.45003165415573843</v>
      </c>
      <c r="K19" s="2"/>
      <c r="L19" s="2">
        <f t="shared" si="6"/>
        <v>-9444.4</v>
      </c>
      <c r="M19" s="2"/>
      <c r="N19" s="19">
        <f t="shared" si="7"/>
        <v>-0.94899517684887458</v>
      </c>
      <c r="O19" s="11"/>
      <c r="P19" s="2">
        <v>1173.7</v>
      </c>
      <c r="Q19" s="2"/>
      <c r="R19" s="19">
        <f t="shared" si="8"/>
        <v>9.9610706050393509E-3</v>
      </c>
      <c r="S19" s="2"/>
      <c r="T19" s="2">
        <v>46462</v>
      </c>
      <c r="U19" s="2"/>
      <c r="V19" s="19">
        <f t="shared" si="9"/>
        <v>0.45000823268472689</v>
      </c>
      <c r="W19" s="2"/>
      <c r="X19" s="2">
        <f t="shared" si="10"/>
        <v>-45288.3</v>
      </c>
      <c r="Y19" s="2"/>
      <c r="Z19" s="19">
        <f t="shared" si="11"/>
        <v>-0.97473849597520557</v>
      </c>
    </row>
    <row r="20" spans="1:26" s="24" customFormat="1" hidden="1" outlineLevel="1" x14ac:dyDescent="0.25">
      <c r="A20" s="44"/>
      <c r="B20" s="11" t="str">
        <f>CONCATENATE("          ", "5200", " - ", "PURCHASES OFFSET")</f>
        <v xml:space="preserve">          5200 - PURCHASES OFFSET</v>
      </c>
      <c r="C20" s="11"/>
      <c r="D20" s="2">
        <v>-559.67999999999995</v>
      </c>
      <c r="E20" s="2"/>
      <c r="F20" s="19">
        <f t="shared" si="4"/>
        <v>-1.97389164333674E-2</v>
      </c>
      <c r="G20" s="2"/>
      <c r="H20" s="2"/>
      <c r="I20" s="2"/>
      <c r="J20" s="19">
        <f t="shared" si="5"/>
        <v>0</v>
      </c>
      <c r="K20" s="2"/>
      <c r="L20" s="2">
        <f t="shared" si="6"/>
        <v>-559.67999999999995</v>
      </c>
      <c r="M20" s="2"/>
      <c r="N20" s="19">
        <f t="shared" si="7"/>
        <v>0</v>
      </c>
      <c r="O20" s="11"/>
      <c r="P20" s="2">
        <v>-1225.78</v>
      </c>
      <c r="Q20" s="2"/>
      <c r="R20" s="19">
        <f t="shared" si="8"/>
        <v>-1.0403068182879043E-2</v>
      </c>
      <c r="S20" s="2"/>
      <c r="T20" s="2"/>
      <c r="U20" s="2"/>
      <c r="V20" s="19">
        <f t="shared" si="9"/>
        <v>0</v>
      </c>
      <c r="W20" s="2"/>
      <c r="X20" s="2">
        <f t="shared" si="10"/>
        <v>-1225.78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"5300", " - ", "COG$ OFFSET")</f>
        <v xml:space="preserve">          5300 - COG$ OFFSET</v>
      </c>
      <c r="C21" s="11"/>
      <c r="D21" s="2">
        <v>12923.67</v>
      </c>
      <c r="E21" s="2"/>
      <c r="F21" s="19">
        <f t="shared" si="4"/>
        <v>0.4557948151486873</v>
      </c>
      <c r="G21" s="2"/>
      <c r="H21" s="2"/>
      <c r="I21" s="2"/>
      <c r="J21" s="19">
        <f t="shared" si="5"/>
        <v>0</v>
      </c>
      <c r="K21" s="2"/>
      <c r="L21" s="2">
        <f t="shared" si="6"/>
        <v>12923.67</v>
      </c>
      <c r="M21" s="2"/>
      <c r="N21" s="19">
        <f t="shared" si="7"/>
        <v>0</v>
      </c>
      <c r="O21" s="11"/>
      <c r="P21" s="2">
        <v>56489.88</v>
      </c>
      <c r="Q21" s="2"/>
      <c r="R21" s="19">
        <f t="shared" si="8"/>
        <v>0.47942377366465044</v>
      </c>
      <c r="S21" s="2"/>
      <c r="T21" s="2"/>
      <c r="U21" s="2"/>
      <c r="V21" s="19">
        <f t="shared" si="9"/>
        <v>0</v>
      </c>
      <c r="W21" s="2"/>
      <c r="X21" s="2">
        <f t="shared" si="10"/>
        <v>56489.88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"5500", " - ", "FREIGHT-IN")</f>
        <v xml:space="preserve">          5500 - FREIGHT-IN</v>
      </c>
      <c r="C22" s="11"/>
      <c r="D22" s="2">
        <v>52.08</v>
      </c>
      <c r="E22" s="2"/>
      <c r="F22" s="19">
        <f t="shared" si="4"/>
        <v>1.836768810480586E-3</v>
      </c>
      <c r="G22" s="2"/>
      <c r="H22" s="2"/>
      <c r="I22" s="2"/>
      <c r="J22" s="19">
        <f t="shared" si="5"/>
        <v>0</v>
      </c>
      <c r="K22" s="2"/>
      <c r="L22" s="2">
        <f t="shared" si="6"/>
        <v>52.08</v>
      </c>
      <c r="M22" s="2"/>
      <c r="N22" s="19">
        <f t="shared" si="7"/>
        <v>0</v>
      </c>
      <c r="O22" s="11"/>
      <c r="P22" s="2">
        <v>52.08</v>
      </c>
      <c r="Q22" s="2"/>
      <c r="R22" s="19">
        <f t="shared" si="8"/>
        <v>4.419975778396944E-4</v>
      </c>
      <c r="S22" s="2"/>
      <c r="T22" s="2"/>
      <c r="U22" s="2"/>
      <c r="V22" s="19">
        <f t="shared" si="9"/>
        <v>0</v>
      </c>
      <c r="W22" s="2"/>
      <c r="X22" s="2">
        <f t="shared" si="10"/>
        <v>52.08</v>
      </c>
      <c r="Y22" s="2"/>
      <c r="Z22" s="19">
        <f t="shared" si="11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108</v>
      </c>
      <c r="C24" s="26"/>
      <c r="D24" s="21">
        <f>D12-D18</f>
        <v>15430.47</v>
      </c>
      <c r="E24" s="13"/>
      <c r="F24" s="20">
        <f>IF(D$12=0,0,D24/D$12)</f>
        <v>0.54420518485131275</v>
      </c>
      <c r="G24" s="13"/>
      <c r="H24" s="21">
        <f>H12-H18</f>
        <v>12162</v>
      </c>
      <c r="I24" s="13"/>
      <c r="J24" s="20">
        <f>IF(H$12=0,0,H24/H$12)</f>
        <v>0.54996834584426157</v>
      </c>
      <c r="K24" s="15"/>
      <c r="L24" s="21">
        <f>+D24-H24</f>
        <v>3268.4699999999993</v>
      </c>
      <c r="M24" s="15"/>
      <c r="N24" s="20">
        <f>IF(H24=0,0,L24/H24)</f>
        <v>0.26874444992599894</v>
      </c>
      <c r="O24" s="25"/>
      <c r="P24" s="21">
        <f>P12-P18</f>
        <v>61338.82</v>
      </c>
      <c r="Q24" s="13"/>
      <c r="R24" s="20">
        <f>IF(P$12=0,0,P24/P$12)</f>
        <v>0.5205762263353495</v>
      </c>
      <c r="S24" s="13"/>
      <c r="T24" s="21">
        <f>T12-T18</f>
        <v>56785</v>
      </c>
      <c r="U24" s="13"/>
      <c r="V24" s="20">
        <f>IF(T$12=0,0,T24/T$12)</f>
        <v>0.54999176731527311</v>
      </c>
      <c r="W24" s="15"/>
      <c r="X24" s="21">
        <f>+P24-T24</f>
        <v>4553.82</v>
      </c>
      <c r="Y24" s="15"/>
      <c r="Z24" s="20">
        <f>IF(T24=0,0,X24/T24)</f>
        <v>8.0194065334155143E-2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295</v>
      </c>
      <c r="C26" s="10"/>
      <c r="D26" s="22">
        <f>SUM(OSRRefD22x_0)</f>
        <v>17942.8</v>
      </c>
      <c r="E26" s="22"/>
      <c r="F26" s="34">
        <f t="shared" ref="F26:F36" si="12">IF(D$12=0,0,D26/D$12)</f>
        <v>0.63281058780128752</v>
      </c>
      <c r="G26" s="22"/>
      <c r="H26" s="22">
        <f>SUM(OSRRefH22x_0)</f>
        <v>22601.658519711542</v>
      </c>
      <c r="I26" s="22"/>
      <c r="J26" s="34">
        <f t="shared" ref="J26:J36" si="13">IF(H$12=0,0,H26/H$12)</f>
        <v>1.0220520267573276</v>
      </c>
      <c r="K26" s="4"/>
      <c r="L26" s="22">
        <f t="shared" ref="L26:L36" si="14">+D26-H26</f>
        <v>-4658.8585197115426</v>
      </c>
      <c r="M26" s="4"/>
      <c r="N26" s="34">
        <f t="shared" ref="N26:N36" si="15">IF(H26=0,0,L26/H26)</f>
        <v>-0.20612905533673209</v>
      </c>
      <c r="O26" s="10"/>
      <c r="P26" s="22">
        <f>SUM(OSRRefP22x_0)</f>
        <v>65947.98</v>
      </c>
      <c r="Q26" s="22"/>
      <c r="R26" s="34">
        <f t="shared" ref="R26:R36" si="16">IF(P$12=0,0,P26/P$12)</f>
        <v>0.55969369092589494</v>
      </c>
      <c r="S26" s="22"/>
      <c r="T26" s="22">
        <f>SUM(OSRRefT22x_0)</f>
        <v>87186.354598461534</v>
      </c>
      <c r="U26" s="22"/>
      <c r="V26" s="34">
        <f t="shared" ref="V26:V36" si="17">IF(T$12=0,0,T26/T$12)</f>
        <v>0.8444444351744993</v>
      </c>
      <c r="W26" s="4"/>
      <c r="X26" s="22">
        <f t="shared" ref="X26:X36" si="18">+P26-T26</f>
        <v>-21238.374598461538</v>
      </c>
      <c r="Y26" s="4"/>
      <c r="Z26" s="34">
        <f t="shared" ref="Z26:Z36" si="19">IF(T26=0,0,X26/T26)</f>
        <v>-0.24359746082142428</v>
      </c>
    </row>
    <row r="27" spans="1:26" s="28" customFormat="1" outlineLevel="1" collapsed="1" x14ac:dyDescent="0.25">
      <c r="A27" s="29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1409.69</v>
      </c>
      <c r="E27" s="1"/>
      <c r="F27" s="5">
        <f t="shared" si="12"/>
        <v>4.9717254693670838E-2</v>
      </c>
      <c r="G27" s="1"/>
      <c r="H27" s="1">
        <f>SUM(OSRRefH22_0x_0)</f>
        <v>2860.5864043269225</v>
      </c>
      <c r="I27" s="1"/>
      <c r="J27" s="5">
        <f t="shared" si="13"/>
        <v>0.12935635363692333</v>
      </c>
      <c r="K27" s="1"/>
      <c r="L27" s="1">
        <f t="shared" si="14"/>
        <v>-1450.8964043269225</v>
      </c>
      <c r="M27" s="1"/>
      <c r="N27" s="5">
        <f t="shared" si="15"/>
        <v>-0.50720244007742499</v>
      </c>
      <c r="O27" s="14"/>
      <c r="P27" s="1">
        <f>SUM(OSRRefP22_0x_0)</f>
        <v>5218.7800000000007</v>
      </c>
      <c r="Q27" s="1"/>
      <c r="R27" s="5">
        <f t="shared" si="16"/>
        <v>4.4291246529920135E-2</v>
      </c>
      <c r="S27" s="1"/>
      <c r="T27" s="1">
        <f>SUM(OSRRefT22_0x_0)</f>
        <v>11076.294983076921</v>
      </c>
      <c r="U27" s="1"/>
      <c r="V27" s="5">
        <f t="shared" si="17"/>
        <v>0.10727958180941743</v>
      </c>
      <c r="W27" s="1"/>
      <c r="X27" s="1">
        <f t="shared" si="18"/>
        <v>-5857.5149830769205</v>
      </c>
      <c r="Y27" s="1"/>
      <c r="Z27" s="5">
        <f t="shared" si="19"/>
        <v>-0.52883342236970121</v>
      </c>
    </row>
    <row r="28" spans="1:26" s="24" customFormat="1" hidden="1" outlineLevel="2" x14ac:dyDescent="0.25">
      <c r="A28" s="27"/>
      <c r="B28" s="11" t="str">
        <f>CONCATENATE("          ", "6111", " - ", "F.I.C.A.")</f>
        <v xml:space="preserve">          6111 - F.I.C.A.</v>
      </c>
      <c r="C28" s="11"/>
      <c r="D28" s="7">
        <v>313.55</v>
      </c>
      <c r="E28" s="2"/>
      <c r="F28" s="6">
        <f t="shared" si="12"/>
        <v>1.1058349856493621E-2</v>
      </c>
      <c r="G28" s="2"/>
      <c r="H28" s="7">
        <v>706.82445721153795</v>
      </c>
      <c r="I28" s="2"/>
      <c r="J28" s="6">
        <f t="shared" si="13"/>
        <v>3.1962759211881069E-2</v>
      </c>
      <c r="K28" s="2"/>
      <c r="L28" s="7">
        <f t="shared" si="14"/>
        <v>-393.27445721153794</v>
      </c>
      <c r="M28" s="2"/>
      <c r="N28" s="6">
        <f t="shared" si="15"/>
        <v>-0.55639622143668832</v>
      </c>
      <c r="O28" s="11"/>
      <c r="P28" s="7">
        <v>1259.99</v>
      </c>
      <c r="Q28" s="2"/>
      <c r="R28" s="6">
        <f t="shared" si="16"/>
        <v>1.069340491747766E-2</v>
      </c>
      <c r="S28" s="2"/>
      <c r="T28" s="7">
        <v>2927.3519734615402</v>
      </c>
      <c r="U28" s="2"/>
      <c r="V28" s="6">
        <f t="shared" si="17"/>
        <v>2.8352901037914324E-2</v>
      </c>
      <c r="W28" s="2"/>
      <c r="X28" s="7">
        <f t="shared" si="18"/>
        <v>-1667.3619734615402</v>
      </c>
      <c r="Y28" s="2"/>
      <c r="Z28" s="6">
        <f t="shared" si="19"/>
        <v>-0.5695802857248885</v>
      </c>
    </row>
    <row r="29" spans="1:26" s="24" customFormat="1" hidden="1" outlineLevel="2" x14ac:dyDescent="0.25">
      <c r="A29" s="27"/>
      <c r="B29" s="11" t="str">
        <f>CONCATENATE("          ", "6112", " - ", "COMPENSATION INSURANCE")</f>
        <v xml:space="preserve">          6112 - COMPENSATION INSURANCE</v>
      </c>
      <c r="C29" s="11"/>
      <c r="D29" s="7">
        <v>46.33</v>
      </c>
      <c r="E29" s="2"/>
      <c r="F29" s="6">
        <f t="shared" si="12"/>
        <v>1.6339765550991848E-3</v>
      </c>
      <c r="G29" s="2"/>
      <c r="H29" s="7">
        <v>187.42875000000001</v>
      </c>
      <c r="I29" s="2"/>
      <c r="J29" s="6">
        <f t="shared" si="13"/>
        <v>8.4755697748032932E-3</v>
      </c>
      <c r="K29" s="2"/>
      <c r="L29" s="7">
        <f t="shared" si="14"/>
        <v>-141.09875</v>
      </c>
      <c r="M29" s="2"/>
      <c r="N29" s="6">
        <f t="shared" si="15"/>
        <v>-0.7528127355061589</v>
      </c>
      <c r="O29" s="11"/>
      <c r="P29" s="7">
        <v>204.04</v>
      </c>
      <c r="Q29" s="2"/>
      <c r="R29" s="6">
        <f t="shared" si="16"/>
        <v>1.7316663936714908E-3</v>
      </c>
      <c r="S29" s="2"/>
      <c r="T29" s="7">
        <v>674.74350000000004</v>
      </c>
      <c r="U29" s="2"/>
      <c r="V29" s="6">
        <f t="shared" si="17"/>
        <v>6.5352358906312054E-3</v>
      </c>
      <c r="W29" s="2"/>
      <c r="X29" s="7">
        <f t="shared" si="18"/>
        <v>-470.70350000000008</v>
      </c>
      <c r="Y29" s="2"/>
      <c r="Z29" s="6">
        <f t="shared" si="19"/>
        <v>-0.69760360788951659</v>
      </c>
    </row>
    <row r="30" spans="1:26" s="24" customFormat="1" hidden="1" outlineLevel="2" x14ac:dyDescent="0.25">
      <c r="A30" s="27"/>
      <c r="B30" s="11" t="str">
        <f>CONCATENATE("          ", "6113", " - ", "GROUP INSURANCE")</f>
        <v xml:space="preserve">          6113 - GROUP INSURANCE</v>
      </c>
      <c r="C30" s="11"/>
      <c r="D30" s="7">
        <v>526.70000000000005</v>
      </c>
      <c r="E30" s="2"/>
      <c r="F30" s="6">
        <f t="shared" si="12"/>
        <v>1.8575770592936341E-2</v>
      </c>
      <c r="G30" s="2"/>
      <c r="H30" s="7">
        <v>988.5</v>
      </c>
      <c r="I30" s="2"/>
      <c r="J30" s="6">
        <f t="shared" si="13"/>
        <v>4.4700189924934429E-2</v>
      </c>
      <c r="K30" s="2"/>
      <c r="L30" s="7">
        <f t="shared" si="14"/>
        <v>-461.79999999999995</v>
      </c>
      <c r="M30" s="2"/>
      <c r="N30" s="6">
        <f t="shared" si="15"/>
        <v>-0.46717248356095087</v>
      </c>
      <c r="O30" s="11"/>
      <c r="P30" s="7">
        <v>2118.0500000000002</v>
      </c>
      <c r="Q30" s="2"/>
      <c r="R30" s="6">
        <f t="shared" si="16"/>
        <v>1.7975671462046174E-2</v>
      </c>
      <c r="S30" s="2"/>
      <c r="T30" s="7">
        <v>3954</v>
      </c>
      <c r="U30" s="2"/>
      <c r="V30" s="6">
        <f t="shared" si="17"/>
        <v>3.8296512247329217E-2</v>
      </c>
      <c r="W30" s="2"/>
      <c r="X30" s="7">
        <f t="shared" si="18"/>
        <v>-1835.9499999999998</v>
      </c>
      <c r="Y30" s="2"/>
      <c r="Z30" s="6">
        <f t="shared" si="19"/>
        <v>-0.46432726353060189</v>
      </c>
    </row>
    <row r="31" spans="1:26" s="24" customFormat="1" hidden="1" outlineLevel="2" x14ac:dyDescent="0.25">
      <c r="A31" s="27"/>
      <c r="B31" s="11" t="str">
        <f>CONCATENATE("          ", "6114", " - ", "STATE UNEMPLOYMENT INSURANCE")</f>
        <v xml:space="preserve">          6114 - STATE UNEMPLOYMENT INSURANCE</v>
      </c>
      <c r="C31" s="11"/>
      <c r="D31" s="7">
        <v>8.14</v>
      </c>
      <c r="E31" s="2"/>
      <c r="F31" s="6">
        <f t="shared" si="12"/>
        <v>2.870832971834096E-4</v>
      </c>
      <c r="G31" s="2"/>
      <c r="H31" s="7">
        <v>25.230793269230801</v>
      </c>
      <c r="I31" s="2"/>
      <c r="J31" s="6">
        <f t="shared" si="13"/>
        <v>1.1409420850696753E-3</v>
      </c>
      <c r="K31" s="2"/>
      <c r="L31" s="7">
        <f t="shared" si="14"/>
        <v>-17.090793269230801</v>
      </c>
      <c r="M31" s="2"/>
      <c r="N31" s="6">
        <f t="shared" si="15"/>
        <v>-0.67737835615629216</v>
      </c>
      <c r="O31" s="11"/>
      <c r="P31" s="7">
        <v>35.840000000000003</v>
      </c>
      <c r="Q31" s="2"/>
      <c r="R31" s="6">
        <f t="shared" si="16"/>
        <v>3.0417037614774672E-4</v>
      </c>
      <c r="S31" s="2"/>
      <c r="T31" s="7">
        <v>90.830855769230794</v>
      </c>
      <c r="U31" s="2"/>
      <c r="V31" s="6">
        <f t="shared" si="17"/>
        <v>8.7974329296958555E-4</v>
      </c>
      <c r="W31" s="2"/>
      <c r="X31" s="7">
        <f t="shared" si="18"/>
        <v>-54.990855769230791</v>
      </c>
      <c r="Y31" s="2"/>
      <c r="Z31" s="6">
        <f t="shared" si="19"/>
        <v>-0.6054204301338213</v>
      </c>
    </row>
    <row r="32" spans="1:26" s="24" customFormat="1" hidden="1" outlineLevel="2" x14ac:dyDescent="0.25">
      <c r="A32" s="27"/>
      <c r="B32" s="11" t="str">
        <f>CONCATENATE("          ", "6115", " - ", "P.E.R.S.")</f>
        <v xml:space="preserve">          6115 - P.E.R.S.</v>
      </c>
      <c r="C32" s="11"/>
      <c r="D32" s="7">
        <v>133.34</v>
      </c>
      <c r="E32" s="2"/>
      <c r="F32" s="6">
        <f t="shared" si="12"/>
        <v>4.7026642317488732E-3</v>
      </c>
      <c r="G32" s="2"/>
      <c r="H32" s="7">
        <v>257.64855769230797</v>
      </c>
      <c r="I32" s="2"/>
      <c r="J32" s="6">
        <f t="shared" si="13"/>
        <v>1.1650925101397666E-2</v>
      </c>
      <c r="K32" s="2"/>
      <c r="L32" s="7">
        <f t="shared" si="14"/>
        <v>-124.30855769230797</v>
      </c>
      <c r="M32" s="2"/>
      <c r="N32" s="6">
        <f t="shared" si="15"/>
        <v>-0.4824733303601923</v>
      </c>
      <c r="O32" s="11"/>
      <c r="P32" s="7">
        <v>400.01</v>
      </c>
      <c r="Q32" s="2"/>
      <c r="R32" s="6">
        <f t="shared" si="16"/>
        <v>3.3948435313298033E-3</v>
      </c>
      <c r="S32" s="2"/>
      <c r="T32" s="7">
        <v>927.53480769230805</v>
      </c>
      <c r="U32" s="2"/>
      <c r="V32" s="6">
        <f t="shared" si="17"/>
        <v>8.9836489940851357E-3</v>
      </c>
      <c r="W32" s="2"/>
      <c r="X32" s="7">
        <f t="shared" si="18"/>
        <v>-527.52480769230806</v>
      </c>
      <c r="Y32" s="2"/>
      <c r="Z32" s="6">
        <f t="shared" si="19"/>
        <v>-0.56873855656671413</v>
      </c>
    </row>
    <row r="33" spans="1:26" s="24" customFormat="1" hidden="1" outlineLevel="2" x14ac:dyDescent="0.25">
      <c r="A33" s="27"/>
      <c r="B33" s="11" t="str">
        <f>CONCATENATE("          ", "6116", " - ", "EDUCATIONAL BENEFITS")</f>
        <v xml:space="preserve">          6116 - EDUCATIONAL BENEFITS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7">
        <v>128.46</v>
      </c>
      <c r="E34" s="2"/>
      <c r="F34" s="6">
        <f t="shared" si="12"/>
        <v>4.5305553263121365E-3</v>
      </c>
      <c r="G34" s="2"/>
      <c r="H34" s="7">
        <v>149.79567307692301</v>
      </c>
      <c r="I34" s="2"/>
      <c r="J34" s="6">
        <f t="shared" si="13"/>
        <v>6.7737936636032836E-3</v>
      </c>
      <c r="K34" s="2"/>
      <c r="L34" s="7">
        <f t="shared" si="14"/>
        <v>-21.335673076923001</v>
      </c>
      <c r="M34" s="2"/>
      <c r="N34" s="6">
        <f t="shared" si="15"/>
        <v>-0.14243183824119349</v>
      </c>
      <c r="O34" s="11"/>
      <c r="P34" s="7">
        <v>385.38</v>
      </c>
      <c r="Q34" s="2"/>
      <c r="R34" s="6">
        <f t="shared" si="16"/>
        <v>3.2706802332538678E-3</v>
      </c>
      <c r="S34" s="2"/>
      <c r="T34" s="7">
        <v>539.26442307692196</v>
      </c>
      <c r="U34" s="2"/>
      <c r="V34" s="6">
        <f t="shared" si="17"/>
        <v>5.2230517407471592E-3</v>
      </c>
      <c r="W34" s="2"/>
      <c r="X34" s="7">
        <f t="shared" si="18"/>
        <v>-153.88442307692196</v>
      </c>
      <c r="Y34" s="2"/>
      <c r="Z34" s="6">
        <f t="shared" si="19"/>
        <v>-0.28535986520099349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7">
        <v>81.03</v>
      </c>
      <c r="E35" s="2"/>
      <c r="F35" s="6">
        <f t="shared" si="12"/>
        <v>2.8577837310530315E-3</v>
      </c>
      <c r="G35" s="2"/>
      <c r="H35" s="7">
        <v>545.15817307692305</v>
      </c>
      <c r="I35" s="2"/>
      <c r="J35" s="6">
        <f t="shared" si="13"/>
        <v>2.4652173875233926E-2</v>
      </c>
      <c r="K35" s="2"/>
      <c r="L35" s="7">
        <f t="shared" si="14"/>
        <v>-464.12817307692308</v>
      </c>
      <c r="M35" s="2"/>
      <c r="N35" s="6">
        <f t="shared" si="15"/>
        <v>-0.851364238854461</v>
      </c>
      <c r="O35" s="11"/>
      <c r="P35" s="7">
        <v>243.09</v>
      </c>
      <c r="Q35" s="2"/>
      <c r="R35" s="6">
        <f t="shared" si="16"/>
        <v>2.0630797080847026E-3</v>
      </c>
      <c r="S35" s="2"/>
      <c r="T35" s="7">
        <v>1962.56942307692</v>
      </c>
      <c r="U35" s="2"/>
      <c r="V35" s="6">
        <f t="shared" si="17"/>
        <v>1.9008488605740795E-2</v>
      </c>
      <c r="W35" s="2"/>
      <c r="X35" s="7">
        <f t="shared" si="18"/>
        <v>-1719.4794230769201</v>
      </c>
      <c r="Y35" s="2"/>
      <c r="Z35" s="6">
        <f t="shared" si="19"/>
        <v>-0.87613686571205063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7">
        <v>172.14</v>
      </c>
      <c r="E36" s="2"/>
      <c r="F36" s="6">
        <f t="shared" si="12"/>
        <v>6.07107110284424E-3</v>
      </c>
      <c r="G36" s="2"/>
      <c r="H36" s="7"/>
      <c r="I36" s="2"/>
      <c r="J36" s="6">
        <f t="shared" si="13"/>
        <v>0</v>
      </c>
      <c r="K36" s="2"/>
      <c r="L36" s="7">
        <f t="shared" si="14"/>
        <v>172.14</v>
      </c>
      <c r="M36" s="2"/>
      <c r="N36" s="6">
        <f t="shared" si="15"/>
        <v>0</v>
      </c>
      <c r="O36" s="11"/>
      <c r="P36" s="7">
        <v>572.38</v>
      </c>
      <c r="Q36" s="2"/>
      <c r="R36" s="6">
        <f t="shared" si="16"/>
        <v>4.8577299079086847E-3</v>
      </c>
      <c r="S36" s="2"/>
      <c r="T36" s="7"/>
      <c r="U36" s="2"/>
      <c r="V36" s="6">
        <f t="shared" si="17"/>
        <v>0</v>
      </c>
      <c r="W36" s="2"/>
      <c r="X36" s="7">
        <f t="shared" si="18"/>
        <v>572.38</v>
      </c>
      <c r="Y36" s="2"/>
      <c r="Z36" s="6">
        <f t="shared" si="19"/>
        <v>0</v>
      </c>
    </row>
    <row r="37" spans="1:26" s="28" customFormat="1" outlineLevel="1" collapsed="1" x14ac:dyDescent="0.25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7573.19</v>
      </c>
      <c r="E37" s="1"/>
      <c r="F37" s="5">
        <f t="shared" ref="F37:F47" si="20">IF(D$12=0,0,D37/D$12)</f>
        <v>0.26709291835336918</v>
      </c>
      <c r="G37" s="1"/>
      <c r="H37" s="1">
        <f>SUM(OSRRefH22_1x_0)</f>
        <v>11403.072115384621</v>
      </c>
      <c r="I37" s="1"/>
      <c r="J37" s="5">
        <f t="shared" ref="J37:J47" si="21">IF(H$12=0,0,H37/H$12)</f>
        <v>0.5156494580530262</v>
      </c>
      <c r="K37" s="1"/>
      <c r="L37" s="1">
        <f t="shared" ref="L37:L47" si="22">+D37-H37</f>
        <v>-3829.8821153846211</v>
      </c>
      <c r="M37" s="1"/>
      <c r="N37" s="5">
        <f t="shared" ref="N37:N47" si="23">IF(H37=0,0,L37/H37)</f>
        <v>-0.33586406159945964</v>
      </c>
      <c r="O37" s="14"/>
      <c r="P37" s="1">
        <f>SUM(OSRRefP22_1x_0)</f>
        <v>25119.77</v>
      </c>
      <c r="Q37" s="1"/>
      <c r="R37" s="5">
        <f t="shared" ref="R37:R47" si="24">IF(P$12=0,0,P37/P$12)</f>
        <v>0.2131888920101809</v>
      </c>
      <c r="S37" s="1"/>
      <c r="T37" s="1">
        <f>SUM(OSRRefT22_1x_0)</f>
        <v>41051.05961538462</v>
      </c>
      <c r="U37" s="1"/>
      <c r="V37" s="5">
        <f t="shared" ref="V37:V47" si="25">IF(T$12=0,0,T37/T$12)</f>
        <v>0.39760050766980753</v>
      </c>
      <c r="W37" s="1"/>
      <c r="X37" s="1">
        <f t="shared" ref="X37:X47" si="26">+P37-T37</f>
        <v>-15931.28961538462</v>
      </c>
      <c r="Y37" s="1"/>
      <c r="Z37" s="5">
        <f t="shared" ref="Z37:Z47" si="27">IF(T37=0,0,X37/T37)</f>
        <v>-0.3880847355621993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7">
        <v>1229.51</v>
      </c>
      <c r="E39" s="2"/>
      <c r="F39" s="6">
        <f t="shared" si="20"/>
        <v>4.3362627115475907E-2</v>
      </c>
      <c r="G39" s="2"/>
      <c r="H39" s="7">
        <v>2696.3221153846198</v>
      </c>
      <c r="I39" s="2"/>
      <c r="J39" s="6">
        <f t="shared" si="21"/>
        <v>0.12192828594485935</v>
      </c>
      <c r="K39" s="2"/>
      <c r="L39" s="7">
        <f t="shared" si="22"/>
        <v>-1466.8121153846198</v>
      </c>
      <c r="M39" s="2"/>
      <c r="N39" s="6">
        <f t="shared" si="23"/>
        <v>-0.54400477858906882</v>
      </c>
      <c r="O39" s="11"/>
      <c r="P39" s="7">
        <v>4918.87</v>
      </c>
      <c r="Q39" s="2"/>
      <c r="R39" s="6">
        <f t="shared" si="24"/>
        <v>4.1745941353846731E-2</v>
      </c>
      <c r="S39" s="2"/>
      <c r="T39" s="7">
        <v>9706.7596153846207</v>
      </c>
      <c r="U39" s="2"/>
      <c r="V39" s="6">
        <f t="shared" si="25"/>
        <v>9.4014931333449112E-2</v>
      </c>
      <c r="W39" s="2"/>
      <c r="X39" s="7">
        <f t="shared" si="26"/>
        <v>-4787.8896153846208</v>
      </c>
      <c r="Y39" s="2"/>
      <c r="Z39" s="6">
        <f t="shared" si="27"/>
        <v>-0.49325313545378296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7">
        <v>1715.4</v>
      </c>
      <c r="E41" s="2"/>
      <c r="F41" s="6">
        <f t="shared" si="20"/>
        <v>6.0499101718479213E-2</v>
      </c>
      <c r="G41" s="2"/>
      <c r="H41" s="7">
        <v>5928</v>
      </c>
      <c r="I41" s="2"/>
      <c r="J41" s="6">
        <f t="shared" si="21"/>
        <v>0.26806547888215609</v>
      </c>
      <c r="K41" s="2"/>
      <c r="L41" s="7">
        <f t="shared" si="22"/>
        <v>-4212.6000000000004</v>
      </c>
      <c r="M41" s="2"/>
      <c r="N41" s="6">
        <f t="shared" si="23"/>
        <v>-0.71062753036437254</v>
      </c>
      <c r="O41" s="11"/>
      <c r="P41" s="7">
        <v>1946.75</v>
      </c>
      <c r="Q41" s="2"/>
      <c r="R41" s="6">
        <f t="shared" si="24"/>
        <v>1.6521866064889115E-2</v>
      </c>
      <c r="S41" s="2"/>
      <c r="T41" s="7">
        <v>21340.799999999999</v>
      </c>
      <c r="U41" s="2"/>
      <c r="V41" s="6">
        <f t="shared" si="25"/>
        <v>0.20669656261198871</v>
      </c>
      <c r="W41" s="2"/>
      <c r="X41" s="7">
        <f t="shared" si="26"/>
        <v>-19394.05</v>
      </c>
      <c r="Y41" s="2"/>
      <c r="Z41" s="6">
        <f t="shared" si="27"/>
        <v>-0.90877802144249509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7">
        <v>690.74</v>
      </c>
      <c r="E42" s="2"/>
      <c r="F42" s="6">
        <f t="shared" si="20"/>
        <v>2.4361169127330259E-2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690.74</v>
      </c>
      <c r="M42" s="2"/>
      <c r="N42" s="6">
        <f t="shared" si="23"/>
        <v>0</v>
      </c>
      <c r="O42" s="11"/>
      <c r="P42" s="7">
        <v>3172.51</v>
      </c>
      <c r="Q42" s="2"/>
      <c r="R42" s="6">
        <f t="shared" si="24"/>
        <v>2.6924764509835043E-2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3172.51</v>
      </c>
      <c r="Y42" s="2"/>
      <c r="Z42" s="6">
        <f t="shared" si="27"/>
        <v>0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7">
        <v>3937.54</v>
      </c>
      <c r="E44" s="2"/>
      <c r="F44" s="6">
        <f t="shared" si="20"/>
        <v>0.13887002039208385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3937.54</v>
      </c>
      <c r="M44" s="2"/>
      <c r="N44" s="6">
        <f t="shared" si="23"/>
        <v>0</v>
      </c>
      <c r="O44" s="11"/>
      <c r="P44" s="7">
        <v>14640.05</v>
      </c>
      <c r="Q44" s="2"/>
      <c r="R44" s="6">
        <f t="shared" si="24"/>
        <v>0.12424859138732754</v>
      </c>
      <c r="S44" s="2"/>
      <c r="T44" s="7">
        <v>5001.75</v>
      </c>
      <c r="U44" s="2"/>
      <c r="V44" s="6">
        <f t="shared" si="25"/>
        <v>4.8444506862184857E-2</v>
      </c>
      <c r="W44" s="2"/>
      <c r="X44" s="7">
        <f t="shared" si="26"/>
        <v>9638.2999999999993</v>
      </c>
      <c r="Y44" s="2"/>
      <c r="Z44" s="6">
        <f t="shared" si="27"/>
        <v>1.9269855550557304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0"/>
        <v>0</v>
      </c>
      <c r="G45" s="2"/>
      <c r="H45" s="7">
        <v>2778.75</v>
      </c>
      <c r="I45" s="2"/>
      <c r="J45" s="6">
        <f t="shared" si="21"/>
        <v>0.12565569322601067</v>
      </c>
      <c r="K45" s="2"/>
      <c r="L45" s="7">
        <f t="shared" si="22"/>
        <v>-2778.75</v>
      </c>
      <c r="M45" s="2"/>
      <c r="N45" s="6">
        <f t="shared" si="23"/>
        <v>-1</v>
      </c>
      <c r="O45" s="11"/>
      <c r="P45" s="7">
        <v>441.59</v>
      </c>
      <c r="Q45" s="2"/>
      <c r="R45" s="6">
        <f t="shared" si="24"/>
        <v>3.7477286942824623E-3</v>
      </c>
      <c r="S45" s="2"/>
      <c r="T45" s="7">
        <v>5001.75</v>
      </c>
      <c r="U45" s="2"/>
      <c r="V45" s="6">
        <f t="shared" si="25"/>
        <v>4.8444506862184857E-2</v>
      </c>
      <c r="W45" s="2"/>
      <c r="X45" s="7">
        <f t="shared" si="26"/>
        <v>-4560.16</v>
      </c>
      <c r="Y45" s="2"/>
      <c r="Z45" s="6">
        <f t="shared" si="27"/>
        <v>-0.91171290048483034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25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420.32</v>
      </c>
      <c r="E48" s="1"/>
      <c r="F48" s="5">
        <f t="shared" ref="F48:F68" si="28">IF(D$12=0,0,D48/D$12)</f>
        <v>1.4823937527288784E-2</v>
      </c>
      <c r="G48" s="1"/>
      <c r="H48" s="1">
        <f>SUM(OSRRefH22_2x_0)</f>
        <v>50</v>
      </c>
      <c r="I48" s="1"/>
      <c r="J48" s="5">
        <f t="shared" ref="J48:J68" si="29">IF(H$12=0,0,H48/H$12)</f>
        <v>2.2610111241747311E-3</v>
      </c>
      <c r="K48" s="1"/>
      <c r="L48" s="1">
        <f t="shared" ref="L48:L68" si="30">+D48-H48</f>
        <v>370.32</v>
      </c>
      <c r="M48" s="1"/>
      <c r="N48" s="5">
        <f t="shared" ref="N48:N68" si="31">IF(H48=0,0,L48/H48)</f>
        <v>7.4063999999999997</v>
      </c>
      <c r="O48" s="14"/>
      <c r="P48" s="1">
        <f>SUM(OSRRefP22_2x_0)</f>
        <v>810.32</v>
      </c>
      <c r="Q48" s="1"/>
      <c r="R48" s="5">
        <f t="shared" ref="R48:R68" si="32">IF(P$12=0,0,P48/P$12)</f>
        <v>6.8771020982154605E-3</v>
      </c>
      <c r="S48" s="1"/>
      <c r="T48" s="1">
        <f>SUM(OSRRefT22_2x_0)</f>
        <v>200</v>
      </c>
      <c r="U48" s="1"/>
      <c r="V48" s="5">
        <f t="shared" ref="V48:V68" si="33">IF(T$12=0,0,T48/T$12)</f>
        <v>1.9371022886863541E-3</v>
      </c>
      <c r="W48" s="1"/>
      <c r="X48" s="1">
        <f t="shared" ref="X48:X68" si="34">+P48-T48</f>
        <v>610.32000000000005</v>
      </c>
      <c r="Y48" s="1"/>
      <c r="Z48" s="5">
        <f t="shared" ref="Z48:Z68" si="35">IF(T48=0,0,X48/T48)</f>
        <v>3.0516000000000001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7">
        <v>420.32</v>
      </c>
      <c r="E49" s="2"/>
      <c r="F49" s="6">
        <f t="shared" si="28"/>
        <v>1.4823937527288784E-2</v>
      </c>
      <c r="G49" s="2"/>
      <c r="H49" s="7">
        <v>50</v>
      </c>
      <c r="I49" s="2"/>
      <c r="J49" s="6">
        <f t="shared" si="29"/>
        <v>2.2610111241747311E-3</v>
      </c>
      <c r="K49" s="2"/>
      <c r="L49" s="7">
        <f t="shared" si="30"/>
        <v>370.32</v>
      </c>
      <c r="M49" s="2"/>
      <c r="N49" s="6">
        <f t="shared" si="31"/>
        <v>7.4063999999999997</v>
      </c>
      <c r="O49" s="11"/>
      <c r="P49" s="7">
        <v>810.32</v>
      </c>
      <c r="Q49" s="2"/>
      <c r="R49" s="6">
        <f t="shared" si="32"/>
        <v>6.8771020982154605E-3</v>
      </c>
      <c r="S49" s="2"/>
      <c r="T49" s="7">
        <v>200</v>
      </c>
      <c r="U49" s="2"/>
      <c r="V49" s="6">
        <f t="shared" si="33"/>
        <v>1.9371022886863541E-3</v>
      </c>
      <c r="W49" s="2"/>
      <c r="X49" s="7">
        <f t="shared" si="34"/>
        <v>610.32000000000005</v>
      </c>
      <c r="Y49" s="2"/>
      <c r="Z49" s="6">
        <f t="shared" si="35"/>
        <v>3.0516000000000001</v>
      </c>
    </row>
    <row r="50" spans="1:26" s="28" customFormat="1" outlineLevel="1" collapsed="1" x14ac:dyDescent="0.25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-10.06</v>
      </c>
      <c r="E50" s="1"/>
      <c r="F50" s="5">
        <f t="shared" si="28"/>
        <v>-3.5479827637163394E-4</v>
      </c>
      <c r="G50" s="1"/>
      <c r="H50" s="1">
        <f>SUM(OSRRefH22_3x_0)</f>
        <v>10</v>
      </c>
      <c r="I50" s="1"/>
      <c r="J50" s="5">
        <f t="shared" si="29"/>
        <v>4.522022248349462E-4</v>
      </c>
      <c r="K50" s="1"/>
      <c r="L50" s="1">
        <f t="shared" si="30"/>
        <v>-20.060000000000002</v>
      </c>
      <c r="M50" s="1"/>
      <c r="N50" s="5">
        <f t="shared" si="31"/>
        <v>-2.0060000000000002</v>
      </c>
      <c r="O50" s="14"/>
      <c r="P50" s="1">
        <f>SUM(OSRRefP22_3x_0)</f>
        <v>-8.36</v>
      </c>
      <c r="Q50" s="1"/>
      <c r="R50" s="5">
        <f t="shared" si="32"/>
        <v>-7.0950456043391801E-5</v>
      </c>
      <c r="S50" s="1"/>
      <c r="T50" s="1">
        <f>SUM(OSRRefT22_3x_0)</f>
        <v>40</v>
      </c>
      <c r="U50" s="1"/>
      <c r="V50" s="5">
        <f t="shared" si="33"/>
        <v>3.874204577372708E-4</v>
      </c>
      <c r="W50" s="1"/>
      <c r="X50" s="1">
        <f t="shared" si="34"/>
        <v>-48.36</v>
      </c>
      <c r="Y50" s="1"/>
      <c r="Z50" s="5">
        <f t="shared" si="35"/>
        <v>-1.2090000000000001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7">
        <v>-10.06</v>
      </c>
      <c r="E51" s="2"/>
      <c r="F51" s="6">
        <f t="shared" si="28"/>
        <v>-3.5479827637163394E-4</v>
      </c>
      <c r="G51" s="2"/>
      <c r="H51" s="7">
        <v>10</v>
      </c>
      <c r="I51" s="2"/>
      <c r="J51" s="6">
        <f t="shared" si="29"/>
        <v>4.522022248349462E-4</v>
      </c>
      <c r="K51" s="2"/>
      <c r="L51" s="7">
        <f t="shared" si="30"/>
        <v>-20.060000000000002</v>
      </c>
      <c r="M51" s="2"/>
      <c r="N51" s="6">
        <f t="shared" si="31"/>
        <v>-2.0060000000000002</v>
      </c>
      <c r="O51" s="11"/>
      <c r="P51" s="7">
        <v>-8.36</v>
      </c>
      <c r="Q51" s="2"/>
      <c r="R51" s="6">
        <f t="shared" si="32"/>
        <v>-7.0950456043391801E-5</v>
      </c>
      <c r="S51" s="2"/>
      <c r="T51" s="7">
        <v>40</v>
      </c>
      <c r="U51" s="2"/>
      <c r="V51" s="6">
        <f t="shared" si="33"/>
        <v>3.874204577372708E-4</v>
      </c>
      <c r="W51" s="2"/>
      <c r="X51" s="7">
        <f t="shared" si="34"/>
        <v>-48.36</v>
      </c>
      <c r="Y51" s="2"/>
      <c r="Z51" s="6">
        <f t="shared" si="35"/>
        <v>-1.2090000000000001</v>
      </c>
    </row>
    <row r="52" spans="1:26" s="28" customFormat="1" outlineLevel="1" collapsed="1" x14ac:dyDescent="0.25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419.96</v>
      </c>
      <c r="E52" s="1"/>
      <c r="F52" s="5">
        <f t="shared" si="28"/>
        <v>1.4811240968690992E-2</v>
      </c>
      <c r="G52" s="1"/>
      <c r="H52" s="1">
        <f>SUM(OSRRefH22_4x_0)</f>
        <v>417</v>
      </c>
      <c r="I52" s="1"/>
      <c r="J52" s="5">
        <f t="shared" si="29"/>
        <v>1.8856832775617255E-2</v>
      </c>
      <c r="K52" s="1"/>
      <c r="L52" s="1">
        <f t="shared" si="30"/>
        <v>2.9599999999999795</v>
      </c>
      <c r="M52" s="1"/>
      <c r="N52" s="5">
        <f t="shared" si="31"/>
        <v>7.0983213429256101E-3</v>
      </c>
      <c r="O52" s="14"/>
      <c r="P52" s="1">
        <f>SUM(OSRRefP22_4x_0)</f>
        <v>1921.94</v>
      </c>
      <c r="Q52" s="1"/>
      <c r="R52" s="5">
        <f t="shared" si="32"/>
        <v>1.6311306158856034E-2</v>
      </c>
      <c r="S52" s="1"/>
      <c r="T52" s="1">
        <f>SUM(OSRRefT22_4x_0)</f>
        <v>1965</v>
      </c>
      <c r="U52" s="1"/>
      <c r="V52" s="5">
        <f t="shared" si="33"/>
        <v>1.9032029986343429E-2</v>
      </c>
      <c r="W52" s="1"/>
      <c r="X52" s="1">
        <f t="shared" si="34"/>
        <v>-43.059999999999945</v>
      </c>
      <c r="Y52" s="1"/>
      <c r="Z52" s="5">
        <f t="shared" si="35"/>
        <v>-2.1913486005089029E-2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7">
        <v>419.96</v>
      </c>
      <c r="E53" s="2"/>
      <c r="F53" s="6">
        <f t="shared" si="28"/>
        <v>1.4811240968690992E-2</v>
      </c>
      <c r="G53" s="2"/>
      <c r="H53" s="7">
        <v>417</v>
      </c>
      <c r="I53" s="2"/>
      <c r="J53" s="6">
        <f t="shared" si="29"/>
        <v>1.8856832775617255E-2</v>
      </c>
      <c r="K53" s="2"/>
      <c r="L53" s="7">
        <f t="shared" si="30"/>
        <v>2.9599999999999795</v>
      </c>
      <c r="M53" s="2"/>
      <c r="N53" s="6">
        <f t="shared" si="31"/>
        <v>7.0983213429256101E-3</v>
      </c>
      <c r="O53" s="11"/>
      <c r="P53" s="7">
        <v>1921.94</v>
      </c>
      <c r="Q53" s="2"/>
      <c r="R53" s="6">
        <f t="shared" si="32"/>
        <v>1.6311306158856034E-2</v>
      </c>
      <c r="S53" s="2"/>
      <c r="T53" s="7">
        <v>1965</v>
      </c>
      <c r="U53" s="2"/>
      <c r="V53" s="6">
        <f t="shared" si="33"/>
        <v>1.9032029986343429E-2</v>
      </c>
      <c r="W53" s="2"/>
      <c r="X53" s="7">
        <f t="shared" si="34"/>
        <v>-43.059999999999945</v>
      </c>
      <c r="Y53" s="2"/>
      <c r="Z53" s="6">
        <f t="shared" si="35"/>
        <v>-2.1913486005089029E-2</v>
      </c>
    </row>
    <row r="54" spans="1:26" s="28" customFormat="1" outlineLevel="1" collapsed="1" x14ac:dyDescent="0.25">
      <c r="A54" s="29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SUM(OSRRefD22_5x_0)</f>
        <v>0</v>
      </c>
      <c r="E54" s="1"/>
      <c r="F54" s="5">
        <f t="shared" si="28"/>
        <v>0</v>
      </c>
      <c r="G54" s="1"/>
      <c r="H54" s="1">
        <f>SUM(OSRRefH22_5x_0)</f>
        <v>25</v>
      </c>
      <c r="I54" s="1"/>
      <c r="J54" s="5">
        <f t="shared" si="29"/>
        <v>1.1305055620873655E-3</v>
      </c>
      <c r="K54" s="1"/>
      <c r="L54" s="1">
        <f t="shared" si="30"/>
        <v>-25</v>
      </c>
      <c r="M54" s="1"/>
      <c r="N54" s="5">
        <f t="shared" si="31"/>
        <v>-1</v>
      </c>
      <c r="O54" s="14"/>
      <c r="P54" s="1">
        <f>SUM(OSRRefP22_5x_0)</f>
        <v>0</v>
      </c>
      <c r="Q54" s="1"/>
      <c r="R54" s="5">
        <f t="shared" si="32"/>
        <v>0</v>
      </c>
      <c r="S54" s="1"/>
      <c r="T54" s="1">
        <f>SUM(OSRRefT22_5x_0)</f>
        <v>100</v>
      </c>
      <c r="U54" s="1"/>
      <c r="V54" s="5">
        <f t="shared" si="33"/>
        <v>9.6855114434317706E-4</v>
      </c>
      <c r="W54" s="1"/>
      <c r="X54" s="1">
        <f t="shared" si="34"/>
        <v>-100</v>
      </c>
      <c r="Y54" s="1"/>
      <c r="Z54" s="5">
        <f t="shared" si="35"/>
        <v>-1</v>
      </c>
    </row>
    <row r="55" spans="1:26" s="24" customFormat="1" hidden="1" outlineLevel="2" x14ac:dyDescent="0.25">
      <c r="A55" s="27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28"/>
        <v>0</v>
      </c>
      <c r="G55" s="2"/>
      <c r="H55" s="7">
        <v>25</v>
      </c>
      <c r="I55" s="2"/>
      <c r="J55" s="6">
        <f t="shared" si="29"/>
        <v>1.1305055620873655E-3</v>
      </c>
      <c r="K55" s="2"/>
      <c r="L55" s="7">
        <f t="shared" si="30"/>
        <v>-25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100</v>
      </c>
      <c r="U55" s="2"/>
      <c r="V55" s="6">
        <f t="shared" si="33"/>
        <v>9.6855114434317706E-4</v>
      </c>
      <c r="W55" s="2"/>
      <c r="X55" s="7">
        <f t="shared" si="34"/>
        <v>-100</v>
      </c>
      <c r="Y55" s="2"/>
      <c r="Z55" s="6">
        <f t="shared" si="35"/>
        <v>-1</v>
      </c>
    </row>
    <row r="56" spans="1:26" s="28" customFormat="1" outlineLevel="1" collapsed="1" x14ac:dyDescent="0.25">
      <c r="A56" s="29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SUM(OSRRefD22_6x_0)</f>
        <v>0</v>
      </c>
      <c r="E56" s="1"/>
      <c r="F56" s="5">
        <f t="shared" si="28"/>
        <v>0</v>
      </c>
      <c r="G56" s="1"/>
      <c r="H56" s="1">
        <f>SUM(OSRRefH22_6x_0)</f>
        <v>0</v>
      </c>
      <c r="I56" s="1"/>
      <c r="J56" s="5">
        <f t="shared" si="29"/>
        <v>0</v>
      </c>
      <c r="K56" s="1"/>
      <c r="L56" s="1">
        <f t="shared" si="30"/>
        <v>0</v>
      </c>
      <c r="M56" s="1"/>
      <c r="N56" s="5">
        <f t="shared" si="31"/>
        <v>0</v>
      </c>
      <c r="O56" s="14"/>
      <c r="P56" s="1">
        <f>SUM(OSRRefP22_6x_0)</f>
        <v>0</v>
      </c>
      <c r="Q56" s="1"/>
      <c r="R56" s="5">
        <f t="shared" si="32"/>
        <v>0</v>
      </c>
      <c r="S56" s="1"/>
      <c r="T56" s="1">
        <f>SUM(OSRRefT22_6x_0)</f>
        <v>125</v>
      </c>
      <c r="U56" s="1"/>
      <c r="V56" s="5">
        <f t="shared" si="33"/>
        <v>1.2106889304289712E-3</v>
      </c>
      <c r="W56" s="1"/>
      <c r="X56" s="1">
        <f t="shared" si="34"/>
        <v>-125</v>
      </c>
      <c r="Y56" s="1"/>
      <c r="Z56" s="5">
        <f t="shared" si="35"/>
        <v>-1</v>
      </c>
    </row>
    <row r="57" spans="1:26" s="24" customFormat="1" hidden="1" outlineLevel="2" x14ac:dyDescent="0.25">
      <c r="A57" s="27"/>
      <c r="B57" s="11" t="str">
        <f>CONCATENATE("          ", "6276", " - ", "PROPERTY TAX")</f>
        <v xml:space="preserve">          6276 - PROPERTY TAX</v>
      </c>
      <c r="C57" s="11"/>
      <c r="D57" s="7"/>
      <c r="E57" s="2"/>
      <c r="F57" s="6">
        <f t="shared" si="28"/>
        <v>0</v>
      </c>
      <c r="G57" s="2"/>
      <c r="H57" s="7"/>
      <c r="I57" s="2"/>
      <c r="J57" s="6">
        <f t="shared" si="29"/>
        <v>0</v>
      </c>
      <c r="K57" s="2"/>
      <c r="L57" s="7">
        <f t="shared" si="30"/>
        <v>0</v>
      </c>
      <c r="M57" s="2"/>
      <c r="N57" s="6">
        <f t="shared" si="31"/>
        <v>0</v>
      </c>
      <c r="O57" s="11"/>
      <c r="P57" s="7"/>
      <c r="Q57" s="2"/>
      <c r="R57" s="6">
        <f t="shared" si="32"/>
        <v>0</v>
      </c>
      <c r="S57" s="2"/>
      <c r="T57" s="7">
        <v>125</v>
      </c>
      <c r="U57" s="2"/>
      <c r="V57" s="6">
        <f t="shared" si="33"/>
        <v>1.2106889304289712E-3</v>
      </c>
      <c r="W57" s="2"/>
      <c r="X57" s="7">
        <f t="shared" si="34"/>
        <v>-125</v>
      </c>
      <c r="Y57" s="2"/>
      <c r="Z57" s="6">
        <f t="shared" si="35"/>
        <v>-1</v>
      </c>
    </row>
    <row r="58" spans="1:26" s="28" customFormat="1" outlineLevel="1" collapsed="1" x14ac:dyDescent="0.25">
      <c r="A58" s="29"/>
      <c r="B58" s="14" t="str">
        <f>CONCATENATE("     ","Insurance                                         ")</f>
        <v xml:space="preserve">     Insurance                                         </v>
      </c>
      <c r="C58" s="14"/>
      <c r="D58" s="1">
        <f>SUM(OSRRefD22_7x_0)</f>
        <v>219.08</v>
      </c>
      <c r="E58" s="1"/>
      <c r="F58" s="5">
        <f t="shared" si="28"/>
        <v>7.726561271123018E-3</v>
      </c>
      <c r="G58" s="1"/>
      <c r="H58" s="1">
        <f>SUM(OSRRefH22_7x_0)</f>
        <v>175</v>
      </c>
      <c r="I58" s="1"/>
      <c r="J58" s="5">
        <f t="shared" si="29"/>
        <v>7.9135389346115578E-3</v>
      </c>
      <c r="K58" s="1"/>
      <c r="L58" s="1">
        <f t="shared" si="30"/>
        <v>44.080000000000013</v>
      </c>
      <c r="M58" s="1"/>
      <c r="N58" s="5">
        <f t="shared" si="31"/>
        <v>0.25188571428571438</v>
      </c>
      <c r="O58" s="14"/>
      <c r="P58" s="1">
        <f>SUM(OSRRefP22_7x_0)</f>
        <v>876.32</v>
      </c>
      <c r="Q58" s="1"/>
      <c r="R58" s="5">
        <f t="shared" si="32"/>
        <v>7.4372372775053965E-3</v>
      </c>
      <c r="S58" s="1"/>
      <c r="T58" s="1">
        <f>SUM(OSRRefT22_7x_0)</f>
        <v>700</v>
      </c>
      <c r="U58" s="1"/>
      <c r="V58" s="5">
        <f t="shared" si="33"/>
        <v>6.7798580104022396E-3</v>
      </c>
      <c r="W58" s="1"/>
      <c r="X58" s="1">
        <f t="shared" si="34"/>
        <v>176.32000000000005</v>
      </c>
      <c r="Y58" s="1"/>
      <c r="Z58" s="5">
        <f t="shared" si="35"/>
        <v>0.25188571428571438</v>
      </c>
    </row>
    <row r="59" spans="1:26" s="24" customFormat="1" hidden="1" outlineLevel="2" x14ac:dyDescent="0.25">
      <c r="A59" s="27"/>
      <c r="B59" s="11" t="str">
        <f>CONCATENATE("          ", "6314", " - ", "LIABILITY INSURANCE")</f>
        <v xml:space="preserve">          6314 - LIABILITY INSURANCE</v>
      </c>
      <c r="C59" s="11"/>
      <c r="D59" s="7">
        <v>219.08</v>
      </c>
      <c r="E59" s="2"/>
      <c r="F59" s="6">
        <f t="shared" si="28"/>
        <v>7.726561271123018E-3</v>
      </c>
      <c r="G59" s="2"/>
      <c r="H59" s="7">
        <v>175</v>
      </c>
      <c r="I59" s="2"/>
      <c r="J59" s="6">
        <f t="shared" si="29"/>
        <v>7.9135389346115578E-3</v>
      </c>
      <c r="K59" s="2"/>
      <c r="L59" s="7">
        <f t="shared" si="30"/>
        <v>44.080000000000013</v>
      </c>
      <c r="M59" s="2"/>
      <c r="N59" s="6">
        <f t="shared" si="31"/>
        <v>0.25188571428571438</v>
      </c>
      <c r="O59" s="11"/>
      <c r="P59" s="7">
        <v>876.32</v>
      </c>
      <c r="Q59" s="2"/>
      <c r="R59" s="6">
        <f t="shared" si="32"/>
        <v>7.4372372775053965E-3</v>
      </c>
      <c r="S59" s="2"/>
      <c r="T59" s="7">
        <v>700</v>
      </c>
      <c r="U59" s="2"/>
      <c r="V59" s="6">
        <f t="shared" si="33"/>
        <v>6.7798580104022396E-3</v>
      </c>
      <c r="W59" s="2"/>
      <c r="X59" s="7">
        <f t="shared" si="34"/>
        <v>176.32000000000005</v>
      </c>
      <c r="Y59" s="2"/>
      <c r="Z59" s="6">
        <f t="shared" si="35"/>
        <v>0.25188571428571438</v>
      </c>
    </row>
    <row r="60" spans="1:26" s="28" customFormat="1" outlineLevel="1" collapsed="1" x14ac:dyDescent="0.25">
      <c r="A60" s="29"/>
      <c r="B60" s="14" t="str">
        <f>CONCATENATE("     ","Inventory Adjustment                              ")</f>
        <v xml:space="preserve">     Inventory Adjustment                              </v>
      </c>
      <c r="C60" s="14"/>
      <c r="D60" s="1">
        <f>SUM(OSRRefD22_8x_0)</f>
        <v>100</v>
      </c>
      <c r="E60" s="1"/>
      <c r="F60" s="5">
        <f t="shared" si="28"/>
        <v>3.5268218327200191E-3</v>
      </c>
      <c r="G60" s="1"/>
      <c r="H60" s="1">
        <f>SUM(OSRRefH22_8x_0)</f>
        <v>100</v>
      </c>
      <c r="I60" s="1"/>
      <c r="J60" s="5">
        <f t="shared" si="29"/>
        <v>4.5220222483494622E-3</v>
      </c>
      <c r="K60" s="1"/>
      <c r="L60" s="1">
        <f t="shared" si="30"/>
        <v>0</v>
      </c>
      <c r="M60" s="1"/>
      <c r="N60" s="5">
        <f t="shared" si="31"/>
        <v>0</v>
      </c>
      <c r="O60" s="14"/>
      <c r="P60" s="1">
        <f>SUM(OSRRefP22_8x_0)</f>
        <v>400</v>
      </c>
      <c r="Q60" s="1"/>
      <c r="R60" s="5">
        <f t="shared" si="32"/>
        <v>3.3947586623632444E-3</v>
      </c>
      <c r="S60" s="1"/>
      <c r="T60" s="1">
        <f>SUM(OSRRefT22_8x_0)</f>
        <v>400</v>
      </c>
      <c r="U60" s="1"/>
      <c r="V60" s="5">
        <f t="shared" si="33"/>
        <v>3.8742045773727083E-3</v>
      </c>
      <c r="W60" s="1"/>
      <c r="X60" s="1">
        <f t="shared" si="34"/>
        <v>0</v>
      </c>
      <c r="Y60" s="1"/>
      <c r="Z60" s="5">
        <f t="shared" si="35"/>
        <v>0</v>
      </c>
    </row>
    <row r="61" spans="1:26" s="24" customFormat="1" hidden="1" outlineLevel="2" x14ac:dyDescent="0.25">
      <c r="A61" s="27"/>
      <c r="B61" s="11" t="str">
        <f>CONCATENATE("          ", "6408", " - ", "INVENTORY ADJUSTMENT")</f>
        <v xml:space="preserve">          6408 - INVENTORY ADJUSTMENT</v>
      </c>
      <c r="C61" s="11"/>
      <c r="D61" s="7">
        <v>100</v>
      </c>
      <c r="E61" s="2"/>
      <c r="F61" s="6">
        <f t="shared" si="28"/>
        <v>3.5268218327200191E-3</v>
      </c>
      <c r="G61" s="2"/>
      <c r="H61" s="7">
        <v>100</v>
      </c>
      <c r="I61" s="2"/>
      <c r="J61" s="6">
        <f t="shared" si="29"/>
        <v>4.5220222483494622E-3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400</v>
      </c>
      <c r="Q61" s="2"/>
      <c r="R61" s="6">
        <f t="shared" si="32"/>
        <v>3.3947586623632444E-3</v>
      </c>
      <c r="S61" s="2"/>
      <c r="T61" s="7">
        <v>400</v>
      </c>
      <c r="U61" s="2"/>
      <c r="V61" s="6">
        <f t="shared" si="33"/>
        <v>3.8742045773727083E-3</v>
      </c>
      <c r="W61" s="2"/>
      <c r="X61" s="7">
        <f t="shared" si="34"/>
        <v>0</v>
      </c>
      <c r="Y61" s="2"/>
      <c r="Z61" s="6">
        <f t="shared" si="35"/>
        <v>0</v>
      </c>
    </row>
    <row r="62" spans="1:26" s="28" customFormat="1" outlineLevel="1" collapsed="1" x14ac:dyDescent="0.25">
      <c r="A62" s="29"/>
      <c r="B62" s="14" t="str">
        <f>CONCATENATE("     ","Professional Services                             ")</f>
        <v xml:space="preserve">     Professional Services                             </v>
      </c>
      <c r="C62" s="14"/>
      <c r="D62" s="1">
        <f>SUM(OSRRefD22_9x_0)</f>
        <v>161.46</v>
      </c>
      <c r="E62" s="1"/>
      <c r="F62" s="5">
        <f t="shared" si="28"/>
        <v>5.6944065311097429E-3</v>
      </c>
      <c r="G62" s="1"/>
      <c r="H62" s="1">
        <f>SUM(OSRRefH22_9x_0)</f>
        <v>0</v>
      </c>
      <c r="I62" s="1"/>
      <c r="J62" s="5">
        <f t="shared" si="29"/>
        <v>0</v>
      </c>
      <c r="K62" s="1"/>
      <c r="L62" s="1">
        <f t="shared" si="30"/>
        <v>161.46</v>
      </c>
      <c r="M62" s="1"/>
      <c r="N62" s="5">
        <f t="shared" si="31"/>
        <v>0</v>
      </c>
      <c r="O62" s="14"/>
      <c r="P62" s="1">
        <f>SUM(OSRRefP22_9x_0)</f>
        <v>161.46</v>
      </c>
      <c r="Q62" s="1"/>
      <c r="R62" s="5">
        <f t="shared" si="32"/>
        <v>1.3702943340629236E-3</v>
      </c>
      <c r="S62" s="1"/>
      <c r="T62" s="1">
        <f>SUM(OSRRefT22_9x_0)</f>
        <v>750</v>
      </c>
      <c r="U62" s="1"/>
      <c r="V62" s="5">
        <f t="shared" si="33"/>
        <v>7.2641335825738276E-3</v>
      </c>
      <c r="W62" s="1"/>
      <c r="X62" s="1">
        <f t="shared" si="34"/>
        <v>-588.54</v>
      </c>
      <c r="Y62" s="1"/>
      <c r="Z62" s="5">
        <f t="shared" si="35"/>
        <v>-0.78471999999999997</v>
      </c>
    </row>
    <row r="63" spans="1:26" s="24" customFormat="1" hidden="1" outlineLevel="2" x14ac:dyDescent="0.25">
      <c r="A63" s="27"/>
      <c r="B63" s="11" t="str">
        <f>CONCATENATE("          ", "6336", " - ", "PROFESSIONAL SERVICES")</f>
        <v xml:space="preserve">          6336 - PROFESSIONAL SERVICES</v>
      </c>
      <c r="C63" s="11"/>
      <c r="D63" s="7">
        <v>161.46</v>
      </c>
      <c r="E63" s="2"/>
      <c r="F63" s="6">
        <f t="shared" si="28"/>
        <v>5.6944065311097429E-3</v>
      </c>
      <c r="G63" s="2"/>
      <c r="H63" s="7"/>
      <c r="I63" s="2"/>
      <c r="J63" s="6">
        <f t="shared" si="29"/>
        <v>0</v>
      </c>
      <c r="K63" s="2"/>
      <c r="L63" s="7">
        <f t="shared" si="30"/>
        <v>161.46</v>
      </c>
      <c r="M63" s="2"/>
      <c r="N63" s="6">
        <f t="shared" si="31"/>
        <v>0</v>
      </c>
      <c r="O63" s="11"/>
      <c r="P63" s="7">
        <v>161.46</v>
      </c>
      <c r="Q63" s="2"/>
      <c r="R63" s="6">
        <f t="shared" si="32"/>
        <v>1.3702943340629236E-3</v>
      </c>
      <c r="S63" s="2"/>
      <c r="T63" s="7">
        <v>750</v>
      </c>
      <c r="U63" s="2"/>
      <c r="V63" s="6">
        <f t="shared" si="33"/>
        <v>7.2641335825738276E-3</v>
      </c>
      <c r="W63" s="2"/>
      <c r="X63" s="7">
        <f t="shared" si="34"/>
        <v>-588.54</v>
      </c>
      <c r="Y63" s="2"/>
      <c r="Z63" s="6">
        <f t="shared" si="35"/>
        <v>-0.78471999999999997</v>
      </c>
    </row>
    <row r="64" spans="1:26" s="28" customFormat="1" outlineLevel="1" collapsed="1" x14ac:dyDescent="0.25">
      <c r="A64" s="29"/>
      <c r="B64" s="14" t="str">
        <f>CONCATENATE("     ","Rent                                              ")</f>
        <v xml:space="preserve">     Rent                                              </v>
      </c>
      <c r="C64" s="14"/>
      <c r="D64" s="1">
        <f>SUM(OSRRefD22_10x_0)</f>
        <v>6900</v>
      </c>
      <c r="E64" s="1"/>
      <c r="F64" s="5">
        <f t="shared" si="28"/>
        <v>0.24335070645768131</v>
      </c>
      <c r="G64" s="1"/>
      <c r="H64" s="1">
        <f>SUM(OSRRefH22_10x_0)</f>
        <v>6900</v>
      </c>
      <c r="I64" s="1"/>
      <c r="J64" s="5">
        <f t="shared" si="29"/>
        <v>0.31201953513611286</v>
      </c>
      <c r="K64" s="1"/>
      <c r="L64" s="1">
        <f t="shared" si="30"/>
        <v>0</v>
      </c>
      <c r="M64" s="1"/>
      <c r="N64" s="5">
        <f t="shared" si="31"/>
        <v>0</v>
      </c>
      <c r="O64" s="14"/>
      <c r="P64" s="1">
        <f>SUM(OSRRefP22_10x_0)</f>
        <v>27600</v>
      </c>
      <c r="Q64" s="1"/>
      <c r="R64" s="5">
        <f t="shared" si="32"/>
        <v>0.23423834770306387</v>
      </c>
      <c r="S64" s="1"/>
      <c r="T64" s="1">
        <f>SUM(OSRRefT22_10x_0)</f>
        <v>27600</v>
      </c>
      <c r="U64" s="1"/>
      <c r="V64" s="5">
        <f t="shared" si="33"/>
        <v>0.26732011583871684</v>
      </c>
      <c r="W64" s="1"/>
      <c r="X64" s="1">
        <f t="shared" si="34"/>
        <v>0</v>
      </c>
      <c r="Y64" s="1"/>
      <c r="Z64" s="5">
        <f t="shared" si="35"/>
        <v>0</v>
      </c>
    </row>
    <row r="65" spans="1:26" s="24" customFormat="1" hidden="1" outlineLevel="2" x14ac:dyDescent="0.25">
      <c r="A65" s="27"/>
      <c r="B65" s="11" t="str">
        <f>CONCATENATE("          ", "6273", " - ", "RENT")</f>
        <v xml:space="preserve">          6273 - RENT</v>
      </c>
      <c r="C65" s="11"/>
      <c r="D65" s="7">
        <v>6900</v>
      </c>
      <c r="E65" s="2"/>
      <c r="F65" s="6">
        <f t="shared" si="28"/>
        <v>0.24335070645768131</v>
      </c>
      <c r="G65" s="2"/>
      <c r="H65" s="7">
        <v>6900</v>
      </c>
      <c r="I65" s="2"/>
      <c r="J65" s="6">
        <f t="shared" si="29"/>
        <v>0.31201953513611286</v>
      </c>
      <c r="K65" s="2"/>
      <c r="L65" s="7">
        <f t="shared" si="30"/>
        <v>0</v>
      </c>
      <c r="M65" s="2"/>
      <c r="N65" s="6">
        <f t="shared" si="31"/>
        <v>0</v>
      </c>
      <c r="O65" s="11"/>
      <c r="P65" s="7">
        <v>27600</v>
      </c>
      <c r="Q65" s="2"/>
      <c r="R65" s="6">
        <f t="shared" si="32"/>
        <v>0.23423834770306387</v>
      </c>
      <c r="S65" s="2"/>
      <c r="T65" s="7">
        <v>27600</v>
      </c>
      <c r="U65" s="2"/>
      <c r="V65" s="6">
        <f t="shared" si="33"/>
        <v>0.26732011583871684</v>
      </c>
      <c r="W65" s="2"/>
      <c r="X65" s="7">
        <f t="shared" si="34"/>
        <v>0</v>
      </c>
      <c r="Y65" s="2"/>
      <c r="Z65" s="6">
        <f t="shared" si="35"/>
        <v>0</v>
      </c>
    </row>
    <row r="66" spans="1:26" s="28" customFormat="1" outlineLevel="1" collapsed="1" x14ac:dyDescent="0.25">
      <c r="A66" s="29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0</v>
      </c>
      <c r="E66" s="1"/>
      <c r="F66" s="5">
        <f t="shared" si="28"/>
        <v>0</v>
      </c>
      <c r="G66" s="1"/>
      <c r="H66" s="1">
        <f>SUM(OSRRefH22_11x_0)</f>
        <v>115</v>
      </c>
      <c r="I66" s="1"/>
      <c r="J66" s="5">
        <f t="shared" si="29"/>
        <v>5.2003255856018808E-3</v>
      </c>
      <c r="K66" s="1"/>
      <c r="L66" s="1">
        <f t="shared" si="30"/>
        <v>-115</v>
      </c>
      <c r="M66" s="1"/>
      <c r="N66" s="5">
        <f t="shared" si="31"/>
        <v>-1</v>
      </c>
      <c r="O66" s="14"/>
      <c r="P66" s="1">
        <f>SUM(OSRRefP22_11x_0)</f>
        <v>1003.72</v>
      </c>
      <c r="Q66" s="1"/>
      <c r="R66" s="5">
        <f t="shared" si="32"/>
        <v>8.5184679114680886E-3</v>
      </c>
      <c r="S66" s="1"/>
      <c r="T66" s="1">
        <f>SUM(OSRRefT22_11x_0)</f>
        <v>460</v>
      </c>
      <c r="U66" s="1"/>
      <c r="V66" s="5">
        <f t="shared" si="33"/>
        <v>4.4553352639786145E-3</v>
      </c>
      <c r="W66" s="1"/>
      <c r="X66" s="1">
        <f t="shared" si="34"/>
        <v>543.72</v>
      </c>
      <c r="Y66" s="1"/>
      <c r="Z66" s="5">
        <f t="shared" si="35"/>
        <v>1.1820000000000002</v>
      </c>
    </row>
    <row r="67" spans="1:26" s="24" customFormat="1" hidden="1" outlineLevel="2" x14ac:dyDescent="0.25">
      <c r="A67" s="27"/>
      <c r="B67" s="11" t="str">
        <f>CONCATENATE("          ", "6373", " - ", "MAINTENANCE CONTRACTS")</f>
        <v xml:space="preserve">          6373 - MAINTENANCE CONTRACTS</v>
      </c>
      <c r="C67" s="11"/>
      <c r="D67" s="7"/>
      <c r="E67" s="2"/>
      <c r="F67" s="6">
        <f t="shared" si="28"/>
        <v>0</v>
      </c>
      <c r="G67" s="2"/>
      <c r="H67" s="7">
        <v>115</v>
      </c>
      <c r="I67" s="2"/>
      <c r="J67" s="6">
        <f t="shared" si="29"/>
        <v>5.2003255856018808E-3</v>
      </c>
      <c r="K67" s="2"/>
      <c r="L67" s="7">
        <f t="shared" si="30"/>
        <v>-115</v>
      </c>
      <c r="M67" s="2"/>
      <c r="N67" s="6">
        <f t="shared" si="31"/>
        <v>-1</v>
      </c>
      <c r="O67" s="11"/>
      <c r="P67" s="7">
        <v>230.9</v>
      </c>
      <c r="Q67" s="2"/>
      <c r="R67" s="6">
        <f t="shared" si="32"/>
        <v>1.9596244378491828E-3</v>
      </c>
      <c r="S67" s="2"/>
      <c r="T67" s="7">
        <v>460</v>
      </c>
      <c r="U67" s="2"/>
      <c r="V67" s="6">
        <f t="shared" si="33"/>
        <v>4.4553352639786145E-3</v>
      </c>
      <c r="W67" s="2"/>
      <c r="X67" s="7">
        <f t="shared" si="34"/>
        <v>-229.1</v>
      </c>
      <c r="Y67" s="2"/>
      <c r="Z67" s="6">
        <f t="shared" si="35"/>
        <v>-0.49804347826086953</v>
      </c>
    </row>
    <row r="68" spans="1:26" s="24" customFormat="1" hidden="1" outlineLevel="2" x14ac:dyDescent="0.25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7"/>
      <c r="E68" s="2"/>
      <c r="F68" s="6">
        <f t="shared" si="28"/>
        <v>0</v>
      </c>
      <c r="G68" s="2"/>
      <c r="H68" s="7">
        <v>0</v>
      </c>
      <c r="I68" s="2"/>
      <c r="J68" s="6">
        <f t="shared" si="29"/>
        <v>0</v>
      </c>
      <c r="K68" s="2"/>
      <c r="L68" s="7">
        <f t="shared" si="30"/>
        <v>0</v>
      </c>
      <c r="M68" s="2"/>
      <c r="N68" s="6">
        <f t="shared" si="31"/>
        <v>0</v>
      </c>
      <c r="O68" s="11"/>
      <c r="P68" s="7">
        <v>772.82</v>
      </c>
      <c r="Q68" s="2"/>
      <c r="R68" s="6">
        <f t="shared" si="32"/>
        <v>6.5588434736189071E-3</v>
      </c>
      <c r="S68" s="2"/>
      <c r="T68" s="7">
        <v>0</v>
      </c>
      <c r="U68" s="2"/>
      <c r="V68" s="6">
        <f t="shared" si="33"/>
        <v>0</v>
      </c>
      <c r="W68" s="2"/>
      <c r="X68" s="7">
        <f t="shared" si="34"/>
        <v>772.82</v>
      </c>
      <c r="Y68" s="2"/>
      <c r="Z68" s="6">
        <f t="shared" si="35"/>
        <v>0</v>
      </c>
    </row>
    <row r="69" spans="1:26" s="28" customFormat="1" outlineLevel="1" collapsed="1" x14ac:dyDescent="0.25">
      <c r="A69" s="29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162.72</v>
      </c>
      <c r="E69" s="1"/>
      <c r="F69" s="5">
        <f t="shared" ref="F69:F71" si="36">IF(D$12=0,0,D69/D$12)</f>
        <v>5.7388444862020152E-3</v>
      </c>
      <c r="G69" s="1"/>
      <c r="H69" s="1">
        <f>SUM(OSRRefH22_12x_0)</f>
        <v>60</v>
      </c>
      <c r="I69" s="1"/>
      <c r="J69" s="5">
        <f t="shared" ref="J69:J71" si="37">IF(H$12=0,0,H69/H$12)</f>
        <v>2.713213349009677E-3</v>
      </c>
      <c r="K69" s="1"/>
      <c r="L69" s="1">
        <f t="shared" ref="L69:L71" si="38">+D69-H69</f>
        <v>102.72</v>
      </c>
      <c r="M69" s="1"/>
      <c r="N69" s="5">
        <f t="shared" ref="N69:N71" si="39">IF(H69=0,0,L69/H69)</f>
        <v>1.712</v>
      </c>
      <c r="O69" s="14"/>
      <c r="P69" s="1">
        <f>SUM(OSRRefP22_12x_0)</f>
        <v>643.75</v>
      </c>
      <c r="Q69" s="1"/>
      <c r="R69" s="5">
        <f t="shared" ref="R69:R71" si="40">IF(P$12=0,0,P69/P$12)</f>
        <v>5.4634397222408466E-3</v>
      </c>
      <c r="S69" s="1"/>
      <c r="T69" s="1">
        <f>SUM(OSRRefT22_12x_0)</f>
        <v>300</v>
      </c>
      <c r="U69" s="1"/>
      <c r="V69" s="5">
        <f t="shared" ref="V69:V71" si="41">IF(T$12=0,0,T69/T$12)</f>
        <v>2.9056534330295313E-3</v>
      </c>
      <c r="W69" s="1"/>
      <c r="X69" s="1">
        <f t="shared" ref="X69:X71" si="42">+P69-T69</f>
        <v>343.75</v>
      </c>
      <c r="Y69" s="1"/>
      <c r="Z69" s="5">
        <f t="shared" ref="Z69:Z71" si="43">IF(T69=0,0,X69/T69)</f>
        <v>1.1458333333333333</v>
      </c>
    </row>
    <row r="70" spans="1:26" s="24" customFormat="1" hidden="1" outlineLevel="2" x14ac:dyDescent="0.25">
      <c r="A70" s="27"/>
      <c r="B70" s="11" t="str">
        <f>CONCATENATE("          ", "6284", " - ", "TRASH REMOVAL EXPENSE")</f>
        <v xml:space="preserve">          6284 - TRASH REMOVAL EXPENSE</v>
      </c>
      <c r="C70" s="11"/>
      <c r="D70" s="7">
        <v>149.69999999999999</v>
      </c>
      <c r="E70" s="2"/>
      <c r="F70" s="6">
        <f t="shared" si="36"/>
        <v>5.2796522835818682E-3</v>
      </c>
      <c r="G70" s="2"/>
      <c r="H70" s="7">
        <v>60</v>
      </c>
      <c r="I70" s="2"/>
      <c r="J70" s="6">
        <f t="shared" si="37"/>
        <v>2.713213349009677E-3</v>
      </c>
      <c r="K70" s="2"/>
      <c r="L70" s="7">
        <f t="shared" si="38"/>
        <v>89.699999999999989</v>
      </c>
      <c r="M70" s="2"/>
      <c r="N70" s="6">
        <f t="shared" si="39"/>
        <v>1.4949999999999999</v>
      </c>
      <c r="O70" s="11"/>
      <c r="P70" s="7">
        <v>591.66999999999996</v>
      </c>
      <c r="Q70" s="2"/>
      <c r="R70" s="6">
        <f t="shared" si="40"/>
        <v>5.0214421444011517E-3</v>
      </c>
      <c r="S70" s="2"/>
      <c r="T70" s="7">
        <v>300</v>
      </c>
      <c r="U70" s="2"/>
      <c r="V70" s="6">
        <f t="shared" si="41"/>
        <v>2.9056534330295313E-3</v>
      </c>
      <c r="W70" s="2"/>
      <c r="X70" s="7">
        <f t="shared" si="42"/>
        <v>291.66999999999996</v>
      </c>
      <c r="Y70" s="2"/>
      <c r="Z70" s="6">
        <f t="shared" si="43"/>
        <v>0.97223333333333317</v>
      </c>
    </row>
    <row r="71" spans="1:26" s="24" customFormat="1" hidden="1" outlineLevel="2" x14ac:dyDescent="0.25">
      <c r="A71" s="27"/>
      <c r="B71" s="11" t="str">
        <f>CONCATENATE("          ", "6285", " - ", "JANITORIAL SERVICES")</f>
        <v xml:space="preserve">          6285 - JANITORIAL SERVICES</v>
      </c>
      <c r="C71" s="11"/>
      <c r="D71" s="7">
        <v>13.02</v>
      </c>
      <c r="E71" s="2"/>
      <c r="F71" s="6">
        <f t="shared" si="36"/>
        <v>4.591922026201465E-4</v>
      </c>
      <c r="G71" s="2"/>
      <c r="H71" s="7"/>
      <c r="I71" s="2"/>
      <c r="J71" s="6">
        <f t="shared" si="37"/>
        <v>0</v>
      </c>
      <c r="K71" s="2"/>
      <c r="L71" s="7">
        <f t="shared" si="38"/>
        <v>13.02</v>
      </c>
      <c r="M71" s="2"/>
      <c r="N71" s="6">
        <f t="shared" si="39"/>
        <v>0</v>
      </c>
      <c r="O71" s="11"/>
      <c r="P71" s="7">
        <v>52.08</v>
      </c>
      <c r="Q71" s="2"/>
      <c r="R71" s="6">
        <f t="shared" si="40"/>
        <v>4.419975778396944E-4</v>
      </c>
      <c r="S71" s="2"/>
      <c r="T71" s="7"/>
      <c r="U71" s="2"/>
      <c r="V71" s="6">
        <f t="shared" si="41"/>
        <v>0</v>
      </c>
      <c r="W71" s="2"/>
      <c r="X71" s="7">
        <f t="shared" si="42"/>
        <v>52.08</v>
      </c>
      <c r="Y71" s="2"/>
      <c r="Z71" s="6">
        <f t="shared" si="43"/>
        <v>0</v>
      </c>
    </row>
    <row r="72" spans="1:26" s="28" customFormat="1" outlineLevel="1" collapsed="1" x14ac:dyDescent="0.25">
      <c r="A72" s="29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SUM(OSRRefD22_13x_0)</f>
        <v>0</v>
      </c>
      <c r="E72" s="1"/>
      <c r="F72" s="5">
        <f t="shared" ref="F72:F74" si="44">IF(D$12=0,0,D72/D$12)</f>
        <v>0</v>
      </c>
      <c r="G72" s="1"/>
      <c r="H72" s="1">
        <f>SUM(OSRRefH22_13x_0)</f>
        <v>61</v>
      </c>
      <c r="I72" s="1"/>
      <c r="J72" s="5">
        <f t="shared" ref="J72:J74" si="45">IF(H$12=0,0,H72/H$12)</f>
        <v>2.7584335714931716E-3</v>
      </c>
      <c r="K72" s="1"/>
      <c r="L72" s="1">
        <f t="shared" ref="L72:L74" si="46">+D72-H72</f>
        <v>-61</v>
      </c>
      <c r="M72" s="1"/>
      <c r="N72" s="5">
        <f t="shared" ref="N72:N74" si="47">IF(H72=0,0,L72/H72)</f>
        <v>-1</v>
      </c>
      <c r="O72" s="14"/>
      <c r="P72" s="1">
        <f>SUM(OSRRefP22_13x_0)</f>
        <v>0</v>
      </c>
      <c r="Q72" s="1"/>
      <c r="R72" s="5">
        <f t="shared" ref="R72:R74" si="48">IF(P$12=0,0,P72/P$12)</f>
        <v>0</v>
      </c>
      <c r="S72" s="1"/>
      <c r="T72" s="1">
        <f>SUM(OSRRefT22_13x_0)</f>
        <v>679</v>
      </c>
      <c r="U72" s="1"/>
      <c r="V72" s="5">
        <f t="shared" ref="V72:V74" si="49">IF(T$12=0,0,T72/T$12)</f>
        <v>6.5764622700901724E-3</v>
      </c>
      <c r="W72" s="1"/>
      <c r="X72" s="1">
        <f t="shared" ref="X72:X74" si="50">+P72-T72</f>
        <v>-679</v>
      </c>
      <c r="Y72" s="1"/>
      <c r="Z72" s="5">
        <f t="shared" ref="Z72:Z74" si="51">IF(T72=0,0,X72/T72)</f>
        <v>-1</v>
      </c>
    </row>
    <row r="73" spans="1:26" s="24" customFormat="1" hidden="1" outlineLevel="2" x14ac:dyDescent="0.25">
      <c r="A73" s="27"/>
      <c r="B73" s="11" t="str">
        <f>CONCATENATE("          ", "6258", " - ", "MEMBERSHIP DUES")</f>
        <v xml:space="preserve">          6258 - MEMBERSHIP DUES</v>
      </c>
      <c r="C73" s="11"/>
      <c r="D73" s="7"/>
      <c r="E73" s="2"/>
      <c r="F73" s="6">
        <f t="shared" si="44"/>
        <v>0</v>
      </c>
      <c r="G73" s="2"/>
      <c r="H73" s="7"/>
      <c r="I73" s="2"/>
      <c r="J73" s="6">
        <f t="shared" si="45"/>
        <v>0</v>
      </c>
      <c r="K73" s="2"/>
      <c r="L73" s="7">
        <f t="shared" si="46"/>
        <v>0</v>
      </c>
      <c r="M73" s="2"/>
      <c r="N73" s="6">
        <f t="shared" si="47"/>
        <v>0</v>
      </c>
      <c r="O73" s="11"/>
      <c r="P73" s="7"/>
      <c r="Q73" s="2"/>
      <c r="R73" s="6">
        <f t="shared" si="48"/>
        <v>0</v>
      </c>
      <c r="S73" s="2"/>
      <c r="T73" s="7">
        <v>395</v>
      </c>
      <c r="U73" s="2"/>
      <c r="V73" s="6">
        <f t="shared" si="49"/>
        <v>3.8257770201555494E-3</v>
      </c>
      <c r="W73" s="2"/>
      <c r="X73" s="7">
        <f t="shared" si="50"/>
        <v>-395</v>
      </c>
      <c r="Y73" s="2"/>
      <c r="Z73" s="6">
        <f t="shared" si="51"/>
        <v>-1</v>
      </c>
    </row>
    <row r="74" spans="1:26" s="24" customFormat="1" hidden="1" outlineLevel="2" x14ac:dyDescent="0.25">
      <c r="A74" s="27"/>
      <c r="B74" s="11" t="str">
        <f>CONCATENATE("          ", "6275", " - ", "SUBSCRIPTIONS")</f>
        <v xml:space="preserve">          6275 - SUBSCRIPTIONS</v>
      </c>
      <c r="C74" s="11"/>
      <c r="D74" s="7"/>
      <c r="E74" s="2"/>
      <c r="F74" s="6">
        <f t="shared" si="44"/>
        <v>0</v>
      </c>
      <c r="G74" s="2"/>
      <c r="H74" s="7">
        <v>61</v>
      </c>
      <c r="I74" s="2"/>
      <c r="J74" s="6">
        <f t="shared" si="45"/>
        <v>2.7584335714931716E-3</v>
      </c>
      <c r="K74" s="2"/>
      <c r="L74" s="7">
        <f t="shared" si="46"/>
        <v>-61</v>
      </c>
      <c r="M74" s="2"/>
      <c r="N74" s="6">
        <f t="shared" si="47"/>
        <v>-1</v>
      </c>
      <c r="O74" s="11"/>
      <c r="P74" s="7"/>
      <c r="Q74" s="2"/>
      <c r="R74" s="6">
        <f t="shared" si="48"/>
        <v>0</v>
      </c>
      <c r="S74" s="2"/>
      <c r="T74" s="7">
        <v>284</v>
      </c>
      <c r="U74" s="2"/>
      <c r="V74" s="6">
        <f t="shared" si="49"/>
        <v>2.7506852499346226E-3</v>
      </c>
      <c r="W74" s="2"/>
      <c r="X74" s="7">
        <f t="shared" si="50"/>
        <v>-284</v>
      </c>
      <c r="Y74" s="2"/>
      <c r="Z74" s="6">
        <f t="shared" si="51"/>
        <v>-1</v>
      </c>
    </row>
    <row r="75" spans="1:26" s="28" customFormat="1" outlineLevel="1" collapsed="1" x14ac:dyDescent="0.25">
      <c r="A75" s="29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SUM(OSRRefD22_14x_0)</f>
        <v>0</v>
      </c>
      <c r="E75" s="1"/>
      <c r="F75" s="5">
        <f t="shared" ref="F75:F78" si="52">IF(D$12=0,0,D75/D$12)</f>
        <v>0</v>
      </c>
      <c r="G75" s="1"/>
      <c r="H75" s="1">
        <f>SUM(OSRRefH22_14x_0)</f>
        <v>30</v>
      </c>
      <c r="I75" s="1"/>
      <c r="J75" s="5">
        <f t="shared" ref="J75:J78" si="53">IF(H$12=0,0,H75/H$12)</f>
        <v>1.3566066745048385E-3</v>
      </c>
      <c r="K75" s="1"/>
      <c r="L75" s="1">
        <f t="shared" ref="L75:L78" si="54">+D75-H75</f>
        <v>-30</v>
      </c>
      <c r="M75" s="1"/>
      <c r="N75" s="5">
        <f t="shared" ref="N75:N78" si="55">IF(H75=0,0,L75/H75)</f>
        <v>-1</v>
      </c>
      <c r="O75" s="14"/>
      <c r="P75" s="1">
        <f>SUM(OSRRefP22_14x_0)</f>
        <v>588.73</v>
      </c>
      <c r="Q75" s="1"/>
      <c r="R75" s="5">
        <f t="shared" ref="R75:R78" si="56">IF(P$12=0,0,P75/P$12)</f>
        <v>4.9964906682327826E-3</v>
      </c>
      <c r="S75" s="1"/>
      <c r="T75" s="1">
        <f>SUM(OSRRefT22_14x_0)</f>
        <v>160</v>
      </c>
      <c r="U75" s="1"/>
      <c r="V75" s="5">
        <f t="shared" ref="V75:V78" si="57">IF(T$12=0,0,T75/T$12)</f>
        <v>1.5496818309490832E-3</v>
      </c>
      <c r="W75" s="1"/>
      <c r="X75" s="1">
        <f t="shared" ref="X75:X78" si="58">+P75-T75</f>
        <v>428.73</v>
      </c>
      <c r="Y75" s="1"/>
      <c r="Z75" s="5">
        <f t="shared" ref="Z75:Z78" si="59">IF(T75=0,0,X75/T75)</f>
        <v>2.6795625000000003</v>
      </c>
    </row>
    <row r="76" spans="1:26" s="24" customFormat="1" hidden="1" outlineLevel="2" x14ac:dyDescent="0.25">
      <c r="A76" s="27"/>
      <c r="B76" s="11" t="str">
        <f>CONCATENATE("          ", "6237", " - ", "JANITORIAL SUPPLIES")</f>
        <v xml:space="preserve">          6237 - JANITORIAL SUPPLIES</v>
      </c>
      <c r="C76" s="11"/>
      <c r="D76" s="7"/>
      <c r="E76" s="2"/>
      <c r="F76" s="6">
        <f t="shared" si="52"/>
        <v>0</v>
      </c>
      <c r="G76" s="2"/>
      <c r="H76" s="7">
        <v>10</v>
      </c>
      <c r="I76" s="2"/>
      <c r="J76" s="6">
        <f t="shared" si="53"/>
        <v>4.522022248349462E-4</v>
      </c>
      <c r="K76" s="2"/>
      <c r="L76" s="7">
        <f t="shared" si="54"/>
        <v>-10</v>
      </c>
      <c r="M76" s="2"/>
      <c r="N76" s="6">
        <f t="shared" si="55"/>
        <v>-1</v>
      </c>
      <c r="O76" s="11"/>
      <c r="P76" s="7">
        <v>77.17</v>
      </c>
      <c r="Q76" s="2"/>
      <c r="R76" s="6">
        <f t="shared" si="56"/>
        <v>6.549338149364289E-4</v>
      </c>
      <c r="S76" s="2"/>
      <c r="T76" s="7">
        <v>80</v>
      </c>
      <c r="U76" s="2"/>
      <c r="V76" s="6">
        <f t="shared" si="57"/>
        <v>7.7484091547454161E-4</v>
      </c>
      <c r="W76" s="2"/>
      <c r="X76" s="7">
        <f t="shared" si="58"/>
        <v>-2.8299999999999983</v>
      </c>
      <c r="Y76" s="2"/>
      <c r="Z76" s="6">
        <f t="shared" si="59"/>
        <v>-3.5374999999999976E-2</v>
      </c>
    </row>
    <row r="77" spans="1:26" s="24" customFormat="1" hidden="1" outlineLevel="2" x14ac:dyDescent="0.25">
      <c r="A77" s="27"/>
      <c r="B77" s="11" t="str">
        <f>CONCATENATE("          ", "6241", " - ", "OFFICE EXPENSE")</f>
        <v xml:space="preserve">          6241 - OFFICE EXPENSE</v>
      </c>
      <c r="C77" s="11"/>
      <c r="D77" s="7"/>
      <c r="E77" s="2"/>
      <c r="F77" s="6">
        <f t="shared" si="52"/>
        <v>0</v>
      </c>
      <c r="G77" s="2"/>
      <c r="H77" s="7">
        <v>20</v>
      </c>
      <c r="I77" s="2"/>
      <c r="J77" s="6">
        <f t="shared" si="53"/>
        <v>9.044044496698924E-4</v>
      </c>
      <c r="K77" s="2"/>
      <c r="L77" s="7">
        <f t="shared" si="54"/>
        <v>-20</v>
      </c>
      <c r="M77" s="2"/>
      <c r="N77" s="6">
        <f t="shared" si="55"/>
        <v>-1</v>
      </c>
      <c r="O77" s="11"/>
      <c r="P77" s="7">
        <v>96.24</v>
      </c>
      <c r="Q77" s="2"/>
      <c r="R77" s="6">
        <f t="shared" si="56"/>
        <v>8.1677893416459658E-4</v>
      </c>
      <c r="S77" s="2"/>
      <c r="T77" s="7">
        <v>80</v>
      </c>
      <c r="U77" s="2"/>
      <c r="V77" s="6">
        <f t="shared" si="57"/>
        <v>7.7484091547454161E-4</v>
      </c>
      <c r="W77" s="2"/>
      <c r="X77" s="7">
        <f t="shared" si="58"/>
        <v>16.239999999999995</v>
      </c>
      <c r="Y77" s="2"/>
      <c r="Z77" s="6">
        <f t="shared" si="59"/>
        <v>0.20299999999999993</v>
      </c>
    </row>
    <row r="78" spans="1:26" s="24" customFormat="1" hidden="1" outlineLevel="2" x14ac:dyDescent="0.25">
      <c r="A78" s="27"/>
      <c r="B78" s="11" t="str">
        <f>CONCATENATE("          ", "6247", " - ", "STORE SUPPLIES")</f>
        <v xml:space="preserve">          6247 - STORE SUPPLIES</v>
      </c>
      <c r="C78" s="11"/>
      <c r="D78" s="7"/>
      <c r="E78" s="2"/>
      <c r="F78" s="6">
        <f t="shared" si="52"/>
        <v>0</v>
      </c>
      <c r="G78" s="2"/>
      <c r="H78" s="7"/>
      <c r="I78" s="2"/>
      <c r="J78" s="6">
        <f t="shared" si="53"/>
        <v>0</v>
      </c>
      <c r="K78" s="2"/>
      <c r="L78" s="7">
        <f t="shared" si="54"/>
        <v>0</v>
      </c>
      <c r="M78" s="2"/>
      <c r="N78" s="6">
        <f t="shared" si="55"/>
        <v>0</v>
      </c>
      <c r="O78" s="11"/>
      <c r="P78" s="7">
        <v>415.32</v>
      </c>
      <c r="Q78" s="2"/>
      <c r="R78" s="6">
        <f t="shared" si="56"/>
        <v>3.5247779191317566E-3</v>
      </c>
      <c r="S78" s="2"/>
      <c r="T78" s="7"/>
      <c r="U78" s="2"/>
      <c r="V78" s="6">
        <f t="shared" si="57"/>
        <v>0</v>
      </c>
      <c r="W78" s="2"/>
      <c r="X78" s="7">
        <f t="shared" si="58"/>
        <v>415.32</v>
      </c>
      <c r="Y78" s="2"/>
      <c r="Z78" s="6">
        <f t="shared" si="59"/>
        <v>0</v>
      </c>
    </row>
    <row r="79" spans="1:26" s="28" customFormat="1" outlineLevel="1" collapsed="1" x14ac:dyDescent="0.25">
      <c r="A79" s="29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SUM(OSRRefD22_15x_0)</f>
        <v>547.84</v>
      </c>
      <c r="E79" s="1"/>
      <c r="F79" s="5">
        <f t="shared" ref="F79:F83" si="60">IF(D$12=0,0,D79/D$12)</f>
        <v>1.9321340728373354E-2</v>
      </c>
      <c r="G79" s="1"/>
      <c r="H79" s="1">
        <f>SUM(OSRRefH22_15x_0)</f>
        <v>250</v>
      </c>
      <c r="I79" s="1"/>
      <c r="J79" s="5">
        <f t="shared" ref="J79:J83" si="61">IF(H$12=0,0,H79/H$12)</f>
        <v>1.1305055620873654E-2</v>
      </c>
      <c r="K79" s="1"/>
      <c r="L79" s="1">
        <f t="shared" ref="L79:L83" si="62">+D79-H79</f>
        <v>297.84000000000003</v>
      </c>
      <c r="M79" s="1"/>
      <c r="N79" s="5">
        <f t="shared" ref="N79:N83" si="63">IF(H79=0,0,L79/H79)</f>
        <v>1.1913600000000002</v>
      </c>
      <c r="O79" s="14"/>
      <c r="P79" s="1">
        <f>SUM(OSRRefP22_15x_0)</f>
        <v>1286.3599999999999</v>
      </c>
      <c r="Q79" s="1"/>
      <c r="R79" s="5">
        <f t="shared" ref="R79:R83" si="64">IF(P$12=0,0,P79/P$12)</f>
        <v>1.0917204382293957E-2</v>
      </c>
      <c r="S79" s="1"/>
      <c r="T79" s="1">
        <f>SUM(OSRRefT22_15x_0)</f>
        <v>1000</v>
      </c>
      <c r="U79" s="1"/>
      <c r="V79" s="5">
        <f t="shared" ref="V79:V83" si="65">IF(T$12=0,0,T79/T$12)</f>
        <v>9.6855114434317695E-3</v>
      </c>
      <c r="W79" s="1"/>
      <c r="X79" s="1">
        <f t="shared" ref="X79:X83" si="66">+P79-T79</f>
        <v>286.3599999999999</v>
      </c>
      <c r="Y79" s="1"/>
      <c r="Z79" s="5">
        <f t="shared" ref="Z79:Z83" si="67">IF(T79=0,0,X79/T79)</f>
        <v>0.28635999999999989</v>
      </c>
    </row>
    <row r="80" spans="1:26" s="24" customFormat="1" hidden="1" outlineLevel="2" x14ac:dyDescent="0.25">
      <c r="A80" s="27"/>
      <c r="B80" s="11" t="str">
        <f>CONCATENATE("          ", "6309", " - ", "TELEPHONE")</f>
        <v xml:space="preserve">          6309 - TELEPHONE</v>
      </c>
      <c r="C80" s="11"/>
      <c r="D80" s="7">
        <v>547.84</v>
      </c>
      <c r="E80" s="2"/>
      <c r="F80" s="6">
        <f t="shared" si="60"/>
        <v>1.9321340728373354E-2</v>
      </c>
      <c r="G80" s="2"/>
      <c r="H80" s="7">
        <v>250</v>
      </c>
      <c r="I80" s="2"/>
      <c r="J80" s="6">
        <f t="shared" si="61"/>
        <v>1.1305055620873654E-2</v>
      </c>
      <c r="K80" s="2"/>
      <c r="L80" s="7">
        <f t="shared" si="62"/>
        <v>297.84000000000003</v>
      </c>
      <c r="M80" s="2"/>
      <c r="N80" s="6">
        <f t="shared" si="63"/>
        <v>1.1913600000000002</v>
      </c>
      <c r="O80" s="11"/>
      <c r="P80" s="7">
        <v>1286.3599999999999</v>
      </c>
      <c r="Q80" s="2"/>
      <c r="R80" s="6">
        <f t="shared" si="64"/>
        <v>1.0917204382293957E-2</v>
      </c>
      <c r="S80" s="2"/>
      <c r="T80" s="7">
        <v>1000</v>
      </c>
      <c r="U80" s="2"/>
      <c r="V80" s="6">
        <f t="shared" si="65"/>
        <v>9.6855114434317695E-3</v>
      </c>
      <c r="W80" s="2"/>
      <c r="X80" s="7">
        <f t="shared" si="66"/>
        <v>286.3599999999999</v>
      </c>
      <c r="Y80" s="2"/>
      <c r="Z80" s="6">
        <f t="shared" si="67"/>
        <v>0.28635999999999989</v>
      </c>
    </row>
    <row r="81" spans="1:26" s="28" customFormat="1" outlineLevel="1" collapsed="1" x14ac:dyDescent="0.25">
      <c r="A81" s="29"/>
      <c r="B81" s="14" t="str">
        <f>CONCATENATE("     ","Travel                                            ")</f>
        <v xml:space="preserve">     Travel                                            </v>
      </c>
      <c r="C81" s="14"/>
      <c r="D81" s="1">
        <f>SUM(OSRRefD22_16x_0)</f>
        <v>0</v>
      </c>
      <c r="E81" s="1"/>
      <c r="F81" s="5">
        <f t="shared" si="60"/>
        <v>0</v>
      </c>
      <c r="G81" s="1"/>
      <c r="H81" s="1">
        <f>SUM(OSRRefH22_16x_0)</f>
        <v>25</v>
      </c>
      <c r="I81" s="1"/>
      <c r="J81" s="5">
        <f t="shared" si="61"/>
        <v>1.1305055620873655E-3</v>
      </c>
      <c r="K81" s="1"/>
      <c r="L81" s="1">
        <f t="shared" si="62"/>
        <v>-25</v>
      </c>
      <c r="M81" s="1"/>
      <c r="N81" s="5">
        <f t="shared" si="63"/>
        <v>-1</v>
      </c>
      <c r="O81" s="14"/>
      <c r="P81" s="1">
        <f>SUM(OSRRefP22_16x_0)</f>
        <v>175.21</v>
      </c>
      <c r="Q81" s="1"/>
      <c r="R81" s="5">
        <f t="shared" si="64"/>
        <v>1.4869891630816601E-3</v>
      </c>
      <c r="S81" s="1"/>
      <c r="T81" s="1">
        <f>SUM(OSRRefT22_16x_0)</f>
        <v>100</v>
      </c>
      <c r="U81" s="1"/>
      <c r="V81" s="5">
        <f t="shared" si="65"/>
        <v>9.6855114434317706E-4</v>
      </c>
      <c r="W81" s="1"/>
      <c r="X81" s="1">
        <f t="shared" si="66"/>
        <v>75.210000000000008</v>
      </c>
      <c r="Y81" s="1"/>
      <c r="Z81" s="5">
        <f t="shared" si="67"/>
        <v>0.7521000000000001</v>
      </c>
    </row>
    <row r="82" spans="1:26" s="24" customFormat="1" hidden="1" outlineLevel="2" x14ac:dyDescent="0.25">
      <c r="A82" s="27"/>
      <c r="B82" s="11" t="str">
        <f>CONCATENATE("          ", "6294", " - ", "TRAVEL OPERATIONAL")</f>
        <v xml:space="preserve">          6294 - TRAVEL OPERATIONAL</v>
      </c>
      <c r="C82" s="11"/>
      <c r="D82" s="7"/>
      <c r="E82" s="2"/>
      <c r="F82" s="6">
        <f t="shared" si="60"/>
        <v>0</v>
      </c>
      <c r="G82" s="2"/>
      <c r="H82" s="7"/>
      <c r="I82" s="2"/>
      <c r="J82" s="6">
        <f t="shared" si="61"/>
        <v>0</v>
      </c>
      <c r="K82" s="2"/>
      <c r="L82" s="7">
        <f t="shared" si="62"/>
        <v>0</v>
      </c>
      <c r="M82" s="2"/>
      <c r="N82" s="6">
        <f t="shared" si="63"/>
        <v>0</v>
      </c>
      <c r="O82" s="11"/>
      <c r="P82" s="7">
        <v>175.21</v>
      </c>
      <c r="Q82" s="2"/>
      <c r="R82" s="6">
        <f t="shared" si="64"/>
        <v>1.4869891630816601E-3</v>
      </c>
      <c r="S82" s="2"/>
      <c r="T82" s="7"/>
      <c r="U82" s="2"/>
      <c r="V82" s="6">
        <f t="shared" si="65"/>
        <v>0</v>
      </c>
      <c r="W82" s="2"/>
      <c r="X82" s="7">
        <f t="shared" si="66"/>
        <v>175.21</v>
      </c>
      <c r="Y82" s="2"/>
      <c r="Z82" s="6">
        <f t="shared" si="67"/>
        <v>0</v>
      </c>
    </row>
    <row r="83" spans="1:26" s="24" customFormat="1" hidden="1" outlineLevel="2" x14ac:dyDescent="0.25">
      <c r="A83" s="27"/>
      <c r="B83" s="11" t="str">
        <f>CONCATENATE("          ", "6298", " - ", "VEHICLE MILEAGE")</f>
        <v xml:space="preserve">          6298 - VEHICLE MILEAGE</v>
      </c>
      <c r="C83" s="11"/>
      <c r="D83" s="7"/>
      <c r="E83" s="2"/>
      <c r="F83" s="6">
        <f t="shared" si="60"/>
        <v>0</v>
      </c>
      <c r="G83" s="2"/>
      <c r="H83" s="7">
        <v>25</v>
      </c>
      <c r="I83" s="2"/>
      <c r="J83" s="6">
        <f t="shared" si="61"/>
        <v>1.1305055620873655E-3</v>
      </c>
      <c r="K83" s="2"/>
      <c r="L83" s="7">
        <f t="shared" si="62"/>
        <v>-25</v>
      </c>
      <c r="M83" s="2"/>
      <c r="N83" s="6">
        <f t="shared" si="63"/>
        <v>-1</v>
      </c>
      <c r="O83" s="11"/>
      <c r="P83" s="7"/>
      <c r="Q83" s="2"/>
      <c r="R83" s="6">
        <f t="shared" si="64"/>
        <v>0</v>
      </c>
      <c r="S83" s="2"/>
      <c r="T83" s="7">
        <v>100</v>
      </c>
      <c r="U83" s="2"/>
      <c r="V83" s="6">
        <f t="shared" si="65"/>
        <v>9.6855114434317706E-4</v>
      </c>
      <c r="W83" s="2"/>
      <c r="X83" s="7">
        <f t="shared" si="66"/>
        <v>-100</v>
      </c>
      <c r="Y83" s="2"/>
      <c r="Z83" s="6">
        <f t="shared" si="67"/>
        <v>-1</v>
      </c>
    </row>
    <row r="84" spans="1:26" s="28" customFormat="1" outlineLevel="1" collapsed="1" x14ac:dyDescent="0.25">
      <c r="A84" s="29"/>
      <c r="B84" s="14" t="str">
        <f>CONCATENATE("     ","Utilities                                         ")</f>
        <v xml:space="preserve">     Utilities                                         </v>
      </c>
      <c r="C84" s="14"/>
      <c r="D84" s="1">
        <f>SUM(OSRRefD22_17x_0)</f>
        <v>38.6</v>
      </c>
      <c r="E84" s="1"/>
      <c r="F84" s="5">
        <f t="shared" ref="F84:F85" si="68">IF(D$12=0,0,D84/D$12)</f>
        <v>1.3613532274299274E-3</v>
      </c>
      <c r="G84" s="1"/>
      <c r="H84" s="1">
        <f>SUM(OSRRefH22_17x_0)</f>
        <v>120</v>
      </c>
      <c r="I84" s="1"/>
      <c r="J84" s="5">
        <f t="shared" ref="J84:J85" si="69">IF(H$12=0,0,H84/H$12)</f>
        <v>5.4264266980193539E-3</v>
      </c>
      <c r="K84" s="1"/>
      <c r="L84" s="1">
        <f t="shared" ref="L84:L85" si="70">+D84-H84</f>
        <v>-81.400000000000006</v>
      </c>
      <c r="M84" s="1"/>
      <c r="N84" s="5">
        <f t="shared" ref="N84:N85" si="71">IF(H84=0,0,L84/H84)</f>
        <v>-0.67833333333333334</v>
      </c>
      <c r="O84" s="14"/>
      <c r="P84" s="1">
        <f>SUM(OSRRefP22_17x_0)</f>
        <v>149.97999999999999</v>
      </c>
      <c r="Q84" s="1"/>
      <c r="R84" s="5">
        <f t="shared" ref="R84:R85" si="72">IF(P$12=0,0,P84/P$12)</f>
        <v>1.2728647604530983E-3</v>
      </c>
      <c r="S84" s="1"/>
      <c r="T84" s="1">
        <f>SUM(OSRRefT22_17x_0)</f>
        <v>480</v>
      </c>
      <c r="U84" s="1"/>
      <c r="V84" s="5">
        <f t="shared" ref="V84:V85" si="73">IF(T$12=0,0,T84/T$12)</f>
        <v>4.6490454928472501E-3</v>
      </c>
      <c r="W84" s="1"/>
      <c r="X84" s="1">
        <f t="shared" ref="X84:X85" si="74">+P84-T84</f>
        <v>-330.02</v>
      </c>
      <c r="Y84" s="1"/>
      <c r="Z84" s="5">
        <f t="shared" ref="Z84:Z85" si="75">IF(T84=0,0,X84/T84)</f>
        <v>-0.68754166666666661</v>
      </c>
    </row>
    <row r="85" spans="1:26" s="24" customFormat="1" hidden="1" outlineLevel="2" x14ac:dyDescent="0.25">
      <c r="A85" s="27"/>
      <c r="B85" s="11" t="str">
        <f>CONCATENATE("          ", "6274", " - ", "UTILITIES")</f>
        <v xml:space="preserve">          6274 - UTILITIES</v>
      </c>
      <c r="C85" s="11"/>
      <c r="D85" s="7">
        <v>38.6</v>
      </c>
      <c r="E85" s="2"/>
      <c r="F85" s="6">
        <f t="shared" si="68"/>
        <v>1.3613532274299274E-3</v>
      </c>
      <c r="G85" s="2"/>
      <c r="H85" s="7">
        <v>120</v>
      </c>
      <c r="I85" s="2"/>
      <c r="J85" s="6">
        <f t="shared" si="69"/>
        <v>5.4264266980193539E-3</v>
      </c>
      <c r="K85" s="2"/>
      <c r="L85" s="7">
        <f t="shared" si="70"/>
        <v>-81.400000000000006</v>
      </c>
      <c r="M85" s="2"/>
      <c r="N85" s="6">
        <f t="shared" si="71"/>
        <v>-0.67833333333333334</v>
      </c>
      <c r="O85" s="11"/>
      <c r="P85" s="7">
        <v>149.97999999999999</v>
      </c>
      <c r="Q85" s="2"/>
      <c r="R85" s="6">
        <f t="shared" si="72"/>
        <v>1.2728647604530983E-3</v>
      </c>
      <c r="S85" s="2"/>
      <c r="T85" s="7">
        <v>480</v>
      </c>
      <c r="U85" s="2"/>
      <c r="V85" s="6">
        <f t="shared" si="73"/>
        <v>4.6490454928472501E-3</v>
      </c>
      <c r="W85" s="2"/>
      <c r="X85" s="7">
        <f t="shared" si="74"/>
        <v>-330.02</v>
      </c>
      <c r="Y85" s="2"/>
      <c r="Z85" s="6">
        <f t="shared" si="75"/>
        <v>-0.68754166666666661</v>
      </c>
    </row>
    <row r="86" spans="1:26" s="60" customFormat="1" x14ac:dyDescent="0.25">
      <c r="A86" s="36"/>
      <c r="B86" s="36"/>
      <c r="C86" s="36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25">
      <c r="A87" s="10"/>
      <c r="B87" s="25" t="s">
        <v>293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6" t="s">
        <v>277</v>
      </c>
      <c r="C89" s="26"/>
      <c r="D89" s="21">
        <f>+D24-D26+D87</f>
        <v>-2512.33</v>
      </c>
      <c r="E89" s="13"/>
      <c r="F89" s="20">
        <f>IF(D$12=0,0,D89/D$12)</f>
        <v>-8.8605402949974849E-2</v>
      </c>
      <c r="G89" s="13"/>
      <c r="H89" s="21">
        <f>+H24-H26+H87</f>
        <v>-10439.658519711542</v>
      </c>
      <c r="I89" s="13"/>
      <c r="J89" s="20">
        <f>IF(H$12=0,0,H89/H$12)</f>
        <v>-0.47208368091306602</v>
      </c>
      <c r="K89" s="15"/>
      <c r="L89" s="21">
        <f>+D89-H89</f>
        <v>7927.328519711542</v>
      </c>
      <c r="M89" s="15"/>
      <c r="N89" s="20">
        <f>IF(H89=0,0,L89/H89)</f>
        <v>-0.75934749252033795</v>
      </c>
      <c r="O89" s="25"/>
      <c r="P89" s="21">
        <f>+P24-P26+P87</f>
        <v>-4609.1599999999962</v>
      </c>
      <c r="Q89" s="13"/>
      <c r="R89" s="20">
        <f>IF(P$12=0,0,P89/P$12)</f>
        <v>-3.9117464590545395E-2</v>
      </c>
      <c r="S89" s="13"/>
      <c r="T89" s="21">
        <f>+T24-T26+T87</f>
        <v>-30401.354598461534</v>
      </c>
      <c r="U89" s="13"/>
      <c r="V89" s="20">
        <f>IF(T$12=0,0,T89/T$12)</f>
        <v>-0.29445266785922625</v>
      </c>
      <c r="W89" s="15"/>
      <c r="X89" s="21">
        <f>+P89-T89</f>
        <v>25792.194598461538</v>
      </c>
      <c r="Y89" s="15"/>
      <c r="Z89" s="20">
        <f>IF(T89=0,0,X89/T89)</f>
        <v>-0.84838965036665692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2"/>
      <c r="B91" s="10" t="s">
        <v>128</v>
      </c>
      <c r="C91" s="10"/>
      <c r="D91" s="4">
        <v>2545.25</v>
      </c>
      <c r="E91" s="4"/>
      <c r="F91" s="12">
        <f>IF(D$12=0,0,D91/D$12)</f>
        <v>8.9766432697306289E-2</v>
      </c>
      <c r="G91" s="4"/>
      <c r="H91" s="4">
        <v>3063</v>
      </c>
      <c r="I91" s="4"/>
      <c r="J91" s="12">
        <f>IF(H$12=0,0,H91/H$12)</f>
        <v>0.13850954146694403</v>
      </c>
      <c r="K91" s="4"/>
      <c r="L91" s="4">
        <f>+D91-H91</f>
        <v>-517.75</v>
      </c>
      <c r="M91" s="4"/>
      <c r="N91" s="12">
        <f>IF(H91=0,0,L91/H91)</f>
        <v>-0.16903362716291218</v>
      </c>
      <c r="O91" s="10"/>
      <c r="P91" s="4">
        <v>13620.02</v>
      </c>
      <c r="Q91" s="4"/>
      <c r="R91" s="12">
        <f>IF(P$12=0,0,P91/P$12)</f>
        <v>0.11559170219140159</v>
      </c>
      <c r="S91" s="4"/>
      <c r="T91" s="4">
        <v>11873</v>
      </c>
      <c r="U91" s="4"/>
      <c r="V91" s="12">
        <f>IF(T$12=0,0,T91/T$12)</f>
        <v>0.11499607736786541</v>
      </c>
      <c r="W91" s="4"/>
      <c r="X91" s="4">
        <f>+P91-T91</f>
        <v>1747.0200000000004</v>
      </c>
      <c r="Y91" s="4"/>
      <c r="Z91" s="12">
        <f>IF(T91=0,0,X91/T91)</f>
        <v>0.14714225553777482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6" t="s">
        <v>126</v>
      </c>
      <c r="C93" s="26"/>
      <c r="D93" s="31">
        <f>+D89-D91</f>
        <v>-5057.58</v>
      </c>
      <c r="E93" s="13"/>
      <c r="F93" s="33">
        <f>IF(D$12=0,0,D93/D$12)</f>
        <v>-0.17837183564728115</v>
      </c>
      <c r="G93" s="13"/>
      <c r="H93" s="31">
        <f>+H89-H91</f>
        <v>-13502.658519711542</v>
      </c>
      <c r="I93" s="13"/>
      <c r="J93" s="33">
        <f>IF(H$12=0,0,H93/H$12)</f>
        <v>-0.61059322238001001</v>
      </c>
      <c r="K93" s="15"/>
      <c r="L93" s="31">
        <f>D93-H93</f>
        <v>8445.078519711542</v>
      </c>
      <c r="M93" s="15"/>
      <c r="N93" s="33">
        <f>IF(H93=0,0,L93/H93)</f>
        <v>-0.6254382059194632</v>
      </c>
      <c r="O93" s="25"/>
      <c r="P93" s="31">
        <f>+P89-P91</f>
        <v>-18229.179999999997</v>
      </c>
      <c r="Q93" s="13"/>
      <c r="R93" s="33">
        <f>IF(P$12=0,0,P93/P$12)</f>
        <v>-0.15470916678194699</v>
      </c>
      <c r="S93" s="13"/>
      <c r="T93" s="31">
        <f>+T89-T91</f>
        <v>-42274.354598461534</v>
      </c>
      <c r="U93" s="13"/>
      <c r="V93" s="33">
        <f>IF(T$12=0,0,T93/T$12)</f>
        <v>-0.40944874522709168</v>
      </c>
      <c r="W93" s="15"/>
      <c r="X93" s="31">
        <f>P93-T93</f>
        <v>24045.174598461537</v>
      </c>
      <c r="Y93" s="15"/>
      <c r="Z93" s="33">
        <f>IF(T93=0,0,X93/T93)</f>
        <v>-0.56878868587946696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6" t="s">
        <v>294</v>
      </c>
      <c r="C96" s="26"/>
      <c r="D96" s="35">
        <f>SUM(D93:D95)</f>
        <v>-5057.58</v>
      </c>
      <c r="E96" s="13"/>
      <c r="F96" s="32">
        <f>IF(D$12=0,0,D96/D$12)</f>
        <v>-0.17837183564728115</v>
      </c>
      <c r="G96" s="13"/>
      <c r="H96" s="35">
        <f>SUM(H93:H95)</f>
        <v>-13502.658519711542</v>
      </c>
      <c r="I96" s="13"/>
      <c r="J96" s="32">
        <f>IF(H$12=0,0,H96/H$12)</f>
        <v>-0.61059322238001001</v>
      </c>
      <c r="K96" s="15"/>
      <c r="L96" s="35">
        <f>+D96-H96</f>
        <v>8445.078519711542</v>
      </c>
      <c r="M96" s="15"/>
      <c r="N96" s="32">
        <f>IF(H96=0,0,L96/H96)</f>
        <v>-0.6254382059194632</v>
      </c>
      <c r="O96" s="25"/>
      <c r="P96" s="35">
        <f>SUM(P93:P95)</f>
        <v>-18229.179999999997</v>
      </c>
      <c r="Q96" s="13"/>
      <c r="R96" s="32">
        <f>IF(P$12=0,0,P96/P$12)</f>
        <v>-0.15470916678194699</v>
      </c>
      <c r="S96" s="13"/>
      <c r="T96" s="35">
        <f>SUM(T93:T95)</f>
        <v>-42274.354598461534</v>
      </c>
      <c r="U96" s="13"/>
      <c r="V96" s="32">
        <f>IF(T$12=0,0,T96/T$12)</f>
        <v>-0.40944874522709168</v>
      </c>
      <c r="W96" s="15"/>
      <c r="X96" s="35">
        <f>+P96-T96</f>
        <v>24045.174598461537</v>
      </c>
      <c r="Y96" s="15"/>
      <c r="Z96" s="32">
        <f>IF(T96=0,0,X96/T96)</f>
        <v>-0.56878868587946696</v>
      </c>
    </row>
    <row r="97" spans="1:24" ht="15.75" thickTop="1" x14ac:dyDescent="0.25">
      <c r="A97" s="9"/>
      <c r="C97" s="9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9">
        <v>44517.962875613426</v>
      </c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A99" s="9"/>
      <c r="B99" s="62" t="s">
        <v>56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4" x14ac:dyDescent="0.25">
      <c r="A100" s="9"/>
      <c r="B100" s="57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4" x14ac:dyDescent="0.25"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218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SUM(0)</f>
        <v>0</v>
      </c>
      <c r="E18" s="22"/>
      <c r="F18" s="34">
        <f>IF(D$12=0,0,D18/D$12)</f>
        <v>0</v>
      </c>
      <c r="G18" s="22"/>
      <c r="H18" s="22">
        <f>SUM(0)</f>
        <v>0</v>
      </c>
      <c r="I18" s="22"/>
      <c r="J18" s="34">
        <f>IF(H$12=0,0,H18/H$12)</f>
        <v>0</v>
      </c>
      <c r="K18" s="4"/>
      <c r="L18" s="22">
        <f>+D18-H18</f>
        <v>0</v>
      </c>
      <c r="M18" s="4"/>
      <c r="N18" s="34">
        <f>IF(H18=0,0,L18/H18)</f>
        <v>0</v>
      </c>
      <c r="O18" s="10"/>
      <c r="P18" s="22">
        <f>SUM(0)</f>
        <v>0</v>
      </c>
      <c r="Q18" s="22"/>
      <c r="R18" s="34">
        <f>IF(P$12=0,0,P18/P$12)</f>
        <v>0</v>
      </c>
      <c r="S18" s="22"/>
      <c r="T18" s="22">
        <f>SUM(0)</f>
        <v>0</v>
      </c>
      <c r="U18" s="22"/>
      <c r="V18" s="34">
        <f>IF(T$12=0,0,T18/T$12)</f>
        <v>0</v>
      </c>
      <c r="W18" s="4"/>
      <c r="X18" s="22">
        <f>+P18-T18</f>
        <v>0</v>
      </c>
      <c r="Y18" s="4"/>
      <c r="Z18" s="34">
        <f>IF(T18=0,0,X18/T18)</f>
        <v>0</v>
      </c>
    </row>
    <row r="19" spans="1:26" s="60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277</v>
      </c>
      <c r="C22" s="26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5"/>
      <c r="L22" s="21">
        <f>+D22-H22</f>
        <v>0</v>
      </c>
      <c r="M22" s="15"/>
      <c r="N22" s="20">
        <f>IF(H22=0,0,L22/H22)</f>
        <v>0</v>
      </c>
      <c r="O22" s="25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5"/>
      <c r="X22" s="21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126</v>
      </c>
      <c r="C26" s="26"/>
      <c r="D26" s="31">
        <f>+D22-D24</f>
        <v>0</v>
      </c>
      <c r="E26" s="13"/>
      <c r="F26" s="33">
        <f>IF(D$12=0,0,D26/D$12)</f>
        <v>0</v>
      </c>
      <c r="G26" s="13"/>
      <c r="H26" s="31">
        <f>+H22-H24</f>
        <v>0</v>
      </c>
      <c r="I26" s="13"/>
      <c r="J26" s="33">
        <f>IF(H$12=0,0,H26/H$12)</f>
        <v>0</v>
      </c>
      <c r="K26" s="15"/>
      <c r="L26" s="31">
        <f>D26-H26</f>
        <v>0</v>
      </c>
      <c r="M26" s="15"/>
      <c r="N26" s="33">
        <f>IF(H26=0,0,L26/H26)</f>
        <v>0</v>
      </c>
      <c r="O26" s="25"/>
      <c r="P26" s="31">
        <f>+P22-P24</f>
        <v>0</v>
      </c>
      <c r="Q26" s="13"/>
      <c r="R26" s="33">
        <f>IF(P$12=0,0,P26/P$12)</f>
        <v>0</v>
      </c>
      <c r="S26" s="13"/>
      <c r="T26" s="31">
        <f>+T22-T24</f>
        <v>0</v>
      </c>
      <c r="U26" s="13"/>
      <c r="V26" s="33">
        <f>IF(T$12=0,0,T26/T$12)</f>
        <v>0</v>
      </c>
      <c r="W26" s="15"/>
      <c r="X26" s="31">
        <f>P26-T26</f>
        <v>0</v>
      </c>
      <c r="Y26" s="15"/>
      <c r="Z26" s="33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184</v>
      </c>
      <c r="C28" s="10"/>
      <c r="D28" s="4">
        <f>--337591.35</f>
        <v>337591.35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322591.34999999998</v>
      </c>
      <c r="M28" s="4"/>
      <c r="N28" s="12">
        <f t="shared" ref="N28:N29" si="4">IF(H28=0,0,L28/H28)</f>
        <v>21.506089999999997</v>
      </c>
      <c r="O28" s="10"/>
      <c r="P28" s="4">
        <f>--117981.78</f>
        <v>117981.78</v>
      </c>
      <c r="Q28" s="4"/>
      <c r="R28" s="12">
        <f t="shared" ref="R28:R29" si="5">IF(P$12=0,0,P28/P$12)</f>
        <v>0</v>
      </c>
      <c r="S28" s="4"/>
      <c r="T28" s="4">
        <f>--60000</f>
        <v>60000</v>
      </c>
      <c r="U28" s="4"/>
      <c r="V28" s="12">
        <f t="shared" ref="V28:V29" si="6">IF(T$12=0,0,T28/T$12)</f>
        <v>0</v>
      </c>
      <c r="W28" s="4"/>
      <c r="X28" s="4">
        <f t="shared" ref="X28:X29" si="7">+P28-T28</f>
        <v>57981.78</v>
      </c>
      <c r="Y28" s="4"/>
      <c r="Z28" s="12">
        <f t="shared" ref="Z28:Z29" si="8">IF(T28=0,0,X28/T28)</f>
        <v>0.96636299999999997</v>
      </c>
    </row>
    <row r="29" spans="1:26" s="23" customFormat="1" x14ac:dyDescent="0.25">
      <c r="A29" s="52"/>
      <c r="B29" s="10" t="s">
        <v>82</v>
      </c>
      <c r="C29" s="10"/>
      <c r="D29" s="4">
        <f>--10527.25</f>
        <v>10527.25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-4472.75</v>
      </c>
      <c r="M29" s="4"/>
      <c r="N29" s="12">
        <f t="shared" si="4"/>
        <v>-0.29818333333333336</v>
      </c>
      <c r="O29" s="10"/>
      <c r="P29" s="4">
        <f>--47856.03</f>
        <v>47856.03</v>
      </c>
      <c r="Q29" s="4"/>
      <c r="R29" s="12">
        <f t="shared" si="5"/>
        <v>0</v>
      </c>
      <c r="S29" s="4"/>
      <c r="T29" s="4">
        <f>--65000</f>
        <v>65000</v>
      </c>
      <c r="U29" s="4"/>
      <c r="V29" s="12">
        <f t="shared" si="6"/>
        <v>0</v>
      </c>
      <c r="W29" s="4"/>
      <c r="X29" s="4">
        <f t="shared" si="7"/>
        <v>-17143.97</v>
      </c>
      <c r="Y29" s="4"/>
      <c r="Z29" s="12">
        <f t="shared" si="8"/>
        <v>-0.26375338461538461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294</v>
      </c>
      <c r="C31" s="26"/>
      <c r="D31" s="35">
        <f>SUM(D26:D30)</f>
        <v>348118.6</v>
      </c>
      <c r="E31" s="13"/>
      <c r="F31" s="32">
        <f>IF(D$12=0,0,D31/D$12)</f>
        <v>0</v>
      </c>
      <c r="G31" s="13"/>
      <c r="H31" s="35">
        <f>SUM(H26:H30)</f>
        <v>30000</v>
      </c>
      <c r="I31" s="13"/>
      <c r="J31" s="32">
        <f>IF(H$12=0,0,H31/H$12)</f>
        <v>0</v>
      </c>
      <c r="K31" s="15"/>
      <c r="L31" s="35">
        <f>+D31-H31</f>
        <v>318118.59999999998</v>
      </c>
      <c r="M31" s="15"/>
      <c r="N31" s="32">
        <f>IF(H31=0,0,L31/H31)</f>
        <v>10.603953333333333</v>
      </c>
      <c r="O31" s="25"/>
      <c r="P31" s="35">
        <f>SUM(P26:P30)</f>
        <v>165837.81</v>
      </c>
      <c r="Q31" s="13"/>
      <c r="R31" s="32">
        <f>IF(P$12=0,0,P31/P$12)</f>
        <v>0</v>
      </c>
      <c r="S31" s="13"/>
      <c r="T31" s="35">
        <f>SUM(T26:T30)</f>
        <v>125000</v>
      </c>
      <c r="U31" s="13"/>
      <c r="V31" s="32">
        <f>IF(T$12=0,0,T31/T$12)</f>
        <v>0</v>
      </c>
      <c r="W31" s="15"/>
      <c r="X31" s="35">
        <f>+P31-T31</f>
        <v>40837.81</v>
      </c>
      <c r="Y31" s="15"/>
      <c r="Z31" s="32">
        <f>IF(T31=0,0,X31/T31)</f>
        <v>0.32670247999999996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9">
        <v>44517.962865706017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62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7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</sheetPr>
  <dimension ref="A2:Z8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125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9408.2899999999991</v>
      </c>
      <c r="E12" s="4"/>
      <c r="F12" s="12"/>
      <c r="G12" s="4"/>
      <c r="H12" s="4">
        <f>SUM(OSRRefH13x_0)</f>
        <v>22850</v>
      </c>
      <c r="I12" s="4"/>
      <c r="J12" s="12"/>
      <c r="K12" s="4"/>
      <c r="L12" s="4">
        <f t="shared" ref="L12:L17" si="0">+D12-H12</f>
        <v>-13441.710000000001</v>
      </c>
      <c r="M12" s="4"/>
      <c r="N12" s="12">
        <f t="shared" ref="N12:N17" si="1">IF(H12=0,0,L12/H12)</f>
        <v>-0.58825864332603939</v>
      </c>
      <c r="O12" s="10"/>
      <c r="P12" s="4">
        <f>SUM(OSRRefP13x_0)</f>
        <v>84420.87000000001</v>
      </c>
      <c r="Q12" s="4"/>
      <c r="R12" s="12"/>
      <c r="S12" s="4"/>
      <c r="T12" s="4">
        <f>SUM(OSRRefT13x_0)</f>
        <v>98150</v>
      </c>
      <c r="U12" s="4"/>
      <c r="V12" s="12"/>
      <c r="W12" s="4"/>
      <c r="X12" s="4">
        <f t="shared" ref="X12:X17" si="2">+P12-T12</f>
        <v>-13729.12999999999</v>
      </c>
      <c r="Y12" s="4"/>
      <c r="Z12" s="12">
        <f t="shared" ref="Z12:Z17" si="3">IF(T12=0,0,X12/T12)</f>
        <v>-0.139879062659195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--4122.58</f>
        <v>4122.58</v>
      </c>
      <c r="E13" s="2"/>
      <c r="F13" s="19"/>
      <c r="G13" s="2"/>
      <c r="H13" s="2">
        <v>5350</v>
      </c>
      <c r="I13" s="2"/>
      <c r="J13" s="19"/>
      <c r="K13" s="2"/>
      <c r="L13" s="2">
        <f t="shared" si="0"/>
        <v>-1227.42</v>
      </c>
      <c r="M13" s="2"/>
      <c r="N13" s="19">
        <f t="shared" si="1"/>
        <v>-0.22942429906542058</v>
      </c>
      <c r="O13" s="11"/>
      <c r="P13" s="2">
        <f>--70564.24</f>
        <v>70564.240000000005</v>
      </c>
      <c r="Q13" s="2"/>
      <c r="R13" s="19"/>
      <c r="S13" s="2"/>
      <c r="T13" s="2">
        <v>56150</v>
      </c>
      <c r="U13" s="2"/>
      <c r="V13" s="19"/>
      <c r="W13" s="2"/>
      <c r="X13" s="2">
        <f t="shared" si="2"/>
        <v>14414.240000000005</v>
      </c>
      <c r="Y13" s="2"/>
      <c r="Z13" s="19">
        <f t="shared" si="3"/>
        <v>0.25670952804986652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--13252.81</f>
        <v>13252.81</v>
      </c>
      <c r="E14" s="2"/>
      <c r="F14" s="19"/>
      <c r="G14" s="2"/>
      <c r="H14" s="2">
        <v>17500</v>
      </c>
      <c r="I14" s="2"/>
      <c r="J14" s="19"/>
      <c r="K14" s="2"/>
      <c r="L14" s="2">
        <f t="shared" si="0"/>
        <v>-4247.1900000000005</v>
      </c>
      <c r="M14" s="2"/>
      <c r="N14" s="19">
        <f t="shared" si="1"/>
        <v>-0.24269657142857146</v>
      </c>
      <c r="O14" s="11"/>
      <c r="P14" s="2">
        <f>--14259.63</f>
        <v>14259.63</v>
      </c>
      <c r="Q14" s="2"/>
      <c r="R14" s="19"/>
      <c r="S14" s="2"/>
      <c r="T14" s="2">
        <v>42000</v>
      </c>
      <c r="U14" s="2"/>
      <c r="V14" s="19"/>
      <c r="W14" s="2"/>
      <c r="X14" s="2">
        <f t="shared" si="2"/>
        <v>-27740.370000000003</v>
      </c>
      <c r="Y14" s="2"/>
      <c r="Z14" s="19">
        <f t="shared" si="3"/>
        <v>-0.6604850000000001</v>
      </c>
    </row>
    <row r="15" spans="1:26" s="24" customFormat="1" hidden="1" outlineLevel="1" x14ac:dyDescent="0.25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>-460.55</f>
        <v>-460.55</v>
      </c>
      <c r="E15" s="2"/>
      <c r="F15" s="19"/>
      <c r="G15" s="2"/>
      <c r="H15" s="2"/>
      <c r="I15" s="2"/>
      <c r="J15" s="19"/>
      <c r="K15" s="2"/>
      <c r="L15" s="2">
        <f t="shared" si="0"/>
        <v>-460.55</v>
      </c>
      <c r="M15" s="2"/>
      <c r="N15" s="19">
        <f t="shared" si="1"/>
        <v>0</v>
      </c>
      <c r="O15" s="11"/>
      <c r="P15" s="2">
        <f t="shared" ref="P15:P16" si="4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>-7492.95</f>
        <v>-7492.95</v>
      </c>
      <c r="E16" s="2"/>
      <c r="F16" s="19"/>
      <c r="G16" s="2"/>
      <c r="H16" s="2"/>
      <c r="I16" s="2"/>
      <c r="J16" s="19"/>
      <c r="K16" s="2"/>
      <c r="L16" s="2">
        <f t="shared" si="0"/>
        <v>-7492.95</v>
      </c>
      <c r="M16" s="2"/>
      <c r="N16" s="19">
        <f t="shared" si="1"/>
        <v>0</v>
      </c>
      <c r="O16" s="11"/>
      <c r="P16" s="2">
        <f t="shared" si="4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"4200", " - ", "TAXABLE RETURNS")</f>
        <v xml:space="preserve">          4200 - TAXABLE RETURNS</v>
      </c>
      <c r="C17" s="11"/>
      <c r="D17" s="2">
        <f>-13.6</f>
        <v>-13.6</v>
      </c>
      <c r="E17" s="2"/>
      <c r="F17" s="19"/>
      <c r="G17" s="2"/>
      <c r="H17" s="2"/>
      <c r="I17" s="2"/>
      <c r="J17" s="19"/>
      <c r="K17" s="2"/>
      <c r="L17" s="2">
        <f t="shared" si="0"/>
        <v>-13.6</v>
      </c>
      <c r="M17" s="2"/>
      <c r="N17" s="19">
        <f t="shared" si="1"/>
        <v>0</v>
      </c>
      <c r="O17" s="11"/>
      <c r="P17" s="2">
        <f>-403</f>
        <v>-403</v>
      </c>
      <c r="Q17" s="2"/>
      <c r="R17" s="19"/>
      <c r="S17" s="2"/>
      <c r="T17" s="2"/>
      <c r="U17" s="2"/>
      <c r="V17" s="19"/>
      <c r="W17" s="2"/>
      <c r="X17" s="2">
        <f t="shared" si="2"/>
        <v>-403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5" t="s">
        <v>257</v>
      </c>
      <c r="C19" s="10"/>
      <c r="D19" s="4">
        <f>SUM(OSRRefD16x_0)</f>
        <v>0</v>
      </c>
      <c r="E19" s="4"/>
      <c r="F19" s="12">
        <f t="shared" ref="F19:F20" si="5">IF(D$12=0,0,D19/D$12)</f>
        <v>0</v>
      </c>
      <c r="G19" s="4"/>
      <c r="H19" s="4">
        <f>SUM(OSRRefH16x_0)</f>
        <v>0</v>
      </c>
      <c r="I19" s="4"/>
      <c r="J19" s="12">
        <f t="shared" ref="J19:J20" si="6">IF(H$12=0,0,H19/H$12)</f>
        <v>0</v>
      </c>
      <c r="K19" s="4"/>
      <c r="L19" s="4">
        <f t="shared" ref="L19:L20" si="7">+D19-H19</f>
        <v>0</v>
      </c>
      <c r="M19" s="4"/>
      <c r="N19" s="12">
        <f t="shared" ref="N19:N20" si="8">IF(H19=0,0,L19/H19)</f>
        <v>0</v>
      </c>
      <c r="O19" s="10"/>
      <c r="P19" s="4">
        <f>SUM(OSRRefP16x_0)</f>
        <v>0</v>
      </c>
      <c r="Q19" s="4"/>
      <c r="R19" s="12">
        <f t="shared" ref="R19:R20" si="9">IF(P$12=0,0,P19/P$12)</f>
        <v>0</v>
      </c>
      <c r="S19" s="4"/>
      <c r="T19" s="4">
        <f>SUM(OSRRefT16x_0)</f>
        <v>0</v>
      </c>
      <c r="U19" s="4"/>
      <c r="V19" s="12">
        <f t="shared" ref="V19:V20" si="10">IF(T$12=0,0,T19/T$12)</f>
        <v>0</v>
      </c>
      <c r="W19" s="4"/>
      <c r="X19" s="4">
        <f t="shared" ref="X19:X20" si="11">+P19-T19</f>
        <v>0</v>
      </c>
      <c r="Y19" s="4"/>
      <c r="Z19" s="12">
        <f t="shared" ref="Z19:Z20" si="12">IF(T19=0,0,X19/T19)</f>
        <v>0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5"/>
        <v>0</v>
      </c>
      <c r="G20" s="2"/>
      <c r="H20" s="2">
        <v>0</v>
      </c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/>
      <c r="Q20" s="2"/>
      <c r="R20" s="19">
        <f t="shared" si="9"/>
        <v>0</v>
      </c>
      <c r="S20" s="2"/>
      <c r="T20" s="2">
        <v>0</v>
      </c>
      <c r="U20" s="2"/>
      <c r="V20" s="19">
        <f t="shared" si="10"/>
        <v>0</v>
      </c>
      <c r="W20" s="2"/>
      <c r="X20" s="2">
        <f t="shared" si="11"/>
        <v>0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108</v>
      </c>
      <c r="C22" s="26"/>
      <c r="D22" s="21">
        <f>D12-D19</f>
        <v>9408.2899999999991</v>
      </c>
      <c r="E22" s="13"/>
      <c r="F22" s="20">
        <f>IF(D$12=0,0,D22/D$12)</f>
        <v>1</v>
      </c>
      <c r="G22" s="13"/>
      <c r="H22" s="21">
        <f>H12-H19</f>
        <v>22850</v>
      </c>
      <c r="I22" s="13"/>
      <c r="J22" s="20">
        <f>IF(H$12=0,0,H22/H$12)</f>
        <v>1</v>
      </c>
      <c r="K22" s="15"/>
      <c r="L22" s="21">
        <f>+D22-H22</f>
        <v>-13441.710000000001</v>
      </c>
      <c r="M22" s="15"/>
      <c r="N22" s="20">
        <f>IF(H22=0,0,L22/H22)</f>
        <v>-0.58825864332603939</v>
      </c>
      <c r="O22" s="25"/>
      <c r="P22" s="21">
        <f>P12-P19</f>
        <v>84420.87000000001</v>
      </c>
      <c r="Q22" s="13"/>
      <c r="R22" s="20">
        <f>IF(P$12=0,0,P22/P$12)</f>
        <v>1</v>
      </c>
      <c r="S22" s="13"/>
      <c r="T22" s="21">
        <f>T12-T19</f>
        <v>98150</v>
      </c>
      <c r="U22" s="13"/>
      <c r="V22" s="20">
        <f>IF(T$12=0,0,T22/T$12)</f>
        <v>1</v>
      </c>
      <c r="W22" s="15"/>
      <c r="X22" s="21">
        <f>+P22-T22</f>
        <v>-13729.12999999999</v>
      </c>
      <c r="Y22" s="15"/>
      <c r="Z22" s="20">
        <f>IF(T22=0,0,X22/T22)</f>
        <v>-0.139879062659195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295</v>
      </c>
      <c r="C24" s="10"/>
      <c r="D24" s="22">
        <f>SUM(OSRRefD22x_0)</f>
        <v>23303.37</v>
      </c>
      <c r="E24" s="22"/>
      <c r="F24" s="34">
        <f t="shared" ref="F24:F34" si="13">IF(D$12=0,0,D24/D$12)</f>
        <v>2.4768975020965556</v>
      </c>
      <c r="G24" s="22"/>
      <c r="H24" s="22">
        <f>SUM(OSRRefH22x_0)</f>
        <v>69912.775299519242</v>
      </c>
      <c r="I24" s="22"/>
      <c r="J24" s="34">
        <f t="shared" ref="J24:J34" si="14">IF(H$12=0,0,H24/H$12)</f>
        <v>3.0596400568717392</v>
      </c>
      <c r="K24" s="4"/>
      <c r="L24" s="22">
        <f t="shared" ref="L24:L34" si="15">+D24-H24</f>
        <v>-46609.405299519247</v>
      </c>
      <c r="M24" s="4"/>
      <c r="N24" s="34">
        <f t="shared" ref="N24:N34" si="16">IF(H24=0,0,L24/H24)</f>
        <v>-0.66667937440383318</v>
      </c>
      <c r="O24" s="10"/>
      <c r="P24" s="22">
        <f>SUM(OSRRefP22x_0)</f>
        <v>113364.47</v>
      </c>
      <c r="Q24" s="22"/>
      <c r="R24" s="34">
        <f t="shared" ref="R24:R34" si="17">IF(P$12=0,0,P24/P$12)</f>
        <v>1.3428488713750519</v>
      </c>
      <c r="S24" s="22"/>
      <c r="T24" s="22">
        <f>SUM(OSRRefT22x_0)</f>
        <v>140251.69112096162</v>
      </c>
      <c r="U24" s="22"/>
      <c r="V24" s="34">
        <f t="shared" ref="V24:V34" si="18">IF(T$12=0,0,T24/T$12)</f>
        <v>1.4289525330714379</v>
      </c>
      <c r="W24" s="4"/>
      <c r="X24" s="22">
        <f t="shared" ref="X24:X34" si="19">+P24-T24</f>
        <v>-26887.221120961622</v>
      </c>
      <c r="Y24" s="4"/>
      <c r="Z24" s="34">
        <f t="shared" ref="Z24:Z34" si="20">IF(T24=0,0,X24/T24)</f>
        <v>-0.19170692992052724</v>
      </c>
    </row>
    <row r="25" spans="1:26" s="28" customFormat="1" outlineLevel="1" collapsed="1" x14ac:dyDescent="0.25">
      <c r="A25" s="29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10120.960000000001</v>
      </c>
      <c r="E25" s="1"/>
      <c r="F25" s="5">
        <f t="shared" si="13"/>
        <v>1.0757491531404753</v>
      </c>
      <c r="G25" s="1"/>
      <c r="H25" s="1">
        <f>SUM(OSRRefH22_0x_0)</f>
        <v>5079.7551072115421</v>
      </c>
      <c r="I25" s="1"/>
      <c r="J25" s="5">
        <f t="shared" si="14"/>
        <v>0.22230875742720096</v>
      </c>
      <c r="K25" s="1"/>
      <c r="L25" s="1">
        <f t="shared" si="15"/>
        <v>5041.2048927884589</v>
      </c>
      <c r="M25" s="1"/>
      <c r="N25" s="5">
        <f t="shared" si="16"/>
        <v>0.99241100926925496</v>
      </c>
      <c r="O25" s="14"/>
      <c r="P25" s="1">
        <f>SUM(OSRRefP22_0x_0)</f>
        <v>36420.71</v>
      </c>
      <c r="Q25" s="1"/>
      <c r="R25" s="5">
        <f t="shared" si="17"/>
        <v>0.43141832108576939</v>
      </c>
      <c r="S25" s="1"/>
      <c r="T25" s="1">
        <f>SUM(OSRRefT22_0x_0)</f>
        <v>30980.671890192316</v>
      </c>
      <c r="U25" s="1"/>
      <c r="V25" s="5">
        <f t="shared" si="18"/>
        <v>0.31564617310435372</v>
      </c>
      <c r="W25" s="1"/>
      <c r="X25" s="1">
        <f t="shared" si="19"/>
        <v>5440.0381098076832</v>
      </c>
      <c r="Y25" s="1"/>
      <c r="Z25" s="5">
        <f t="shared" si="20"/>
        <v>0.17559458132765221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7">
        <v>1811.85</v>
      </c>
      <c r="E26" s="2"/>
      <c r="F26" s="6">
        <f t="shared" si="13"/>
        <v>0.19258016068807404</v>
      </c>
      <c r="G26" s="2"/>
      <c r="H26" s="7">
        <v>923.51473701923203</v>
      </c>
      <c r="I26" s="2"/>
      <c r="J26" s="6">
        <f t="shared" si="14"/>
        <v>4.0416399869550639E-2</v>
      </c>
      <c r="K26" s="2"/>
      <c r="L26" s="7">
        <f t="shared" si="15"/>
        <v>888.33526298076788</v>
      </c>
      <c r="M26" s="2"/>
      <c r="N26" s="6">
        <f t="shared" si="16"/>
        <v>0.96190697058932639</v>
      </c>
      <c r="O26" s="11"/>
      <c r="P26" s="7">
        <v>5691.59</v>
      </c>
      <c r="Q26" s="2"/>
      <c r="R26" s="6">
        <f t="shared" si="17"/>
        <v>6.7419229391973798E-2</v>
      </c>
      <c r="S26" s="2"/>
      <c r="T26" s="7">
        <v>4961.3854459615404</v>
      </c>
      <c r="U26" s="2"/>
      <c r="V26" s="6">
        <f t="shared" si="18"/>
        <v>5.0549011166189921E-2</v>
      </c>
      <c r="W26" s="2"/>
      <c r="X26" s="7">
        <f t="shared" si="19"/>
        <v>730.20455403845972</v>
      </c>
      <c r="Y26" s="2"/>
      <c r="Z26" s="6">
        <f t="shared" si="20"/>
        <v>0.1471775498984523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7">
        <v>441.7</v>
      </c>
      <c r="E27" s="2"/>
      <c r="F27" s="6">
        <f t="shared" si="13"/>
        <v>4.6947957599096118E-2</v>
      </c>
      <c r="G27" s="2"/>
      <c r="H27" s="7">
        <v>188.25075000000001</v>
      </c>
      <c r="I27" s="2"/>
      <c r="J27" s="6">
        <f t="shared" si="14"/>
        <v>8.2385448577680532E-3</v>
      </c>
      <c r="K27" s="2"/>
      <c r="L27" s="7">
        <f t="shared" si="15"/>
        <v>253.44924999999998</v>
      </c>
      <c r="M27" s="2"/>
      <c r="N27" s="6">
        <f t="shared" si="16"/>
        <v>1.3463385936045407</v>
      </c>
      <c r="O27" s="11"/>
      <c r="P27" s="7">
        <v>1270.17</v>
      </c>
      <c r="Q27" s="2"/>
      <c r="R27" s="6">
        <f t="shared" si="17"/>
        <v>1.5045687162427962E-2</v>
      </c>
      <c r="S27" s="2"/>
      <c r="T27" s="7">
        <v>1011.3369</v>
      </c>
      <c r="U27" s="2"/>
      <c r="V27" s="6">
        <f t="shared" si="18"/>
        <v>1.0303992868059093E-2</v>
      </c>
      <c r="W27" s="2"/>
      <c r="X27" s="7">
        <f t="shared" si="19"/>
        <v>258.83310000000006</v>
      </c>
      <c r="Y27" s="2"/>
      <c r="Z27" s="6">
        <f t="shared" si="20"/>
        <v>0.2559316287183826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7">
        <v>3410.23</v>
      </c>
      <c r="E28" s="2"/>
      <c r="F28" s="6">
        <f t="shared" si="13"/>
        <v>0.36247075717266369</v>
      </c>
      <c r="G28" s="2"/>
      <c r="H28" s="7">
        <v>1326</v>
      </c>
      <c r="I28" s="2"/>
      <c r="J28" s="6">
        <f t="shared" si="14"/>
        <v>5.8030634573304159E-2</v>
      </c>
      <c r="K28" s="2"/>
      <c r="L28" s="7">
        <f t="shared" si="15"/>
        <v>2084.23</v>
      </c>
      <c r="M28" s="2"/>
      <c r="N28" s="6">
        <f t="shared" si="16"/>
        <v>1.571817496229261</v>
      </c>
      <c r="O28" s="11"/>
      <c r="P28" s="7">
        <v>13674.67</v>
      </c>
      <c r="Q28" s="2"/>
      <c r="R28" s="6">
        <f t="shared" si="17"/>
        <v>0.16198210229295196</v>
      </c>
      <c r="S28" s="2"/>
      <c r="T28" s="7">
        <v>10246.5</v>
      </c>
      <c r="U28" s="2"/>
      <c r="V28" s="6">
        <f t="shared" si="18"/>
        <v>0.10439633214467652</v>
      </c>
      <c r="W28" s="2"/>
      <c r="X28" s="7">
        <f t="shared" si="19"/>
        <v>3428.17</v>
      </c>
      <c r="Y28" s="2"/>
      <c r="Z28" s="6">
        <f t="shared" si="20"/>
        <v>0.33456985312057774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7">
        <v>77.599999999999994</v>
      </c>
      <c r="E29" s="2"/>
      <c r="F29" s="6">
        <f t="shared" si="13"/>
        <v>8.2480450751411787E-3</v>
      </c>
      <c r="G29" s="2"/>
      <c r="H29" s="7">
        <v>25.3414471153846</v>
      </c>
      <c r="I29" s="2"/>
      <c r="J29" s="6">
        <f t="shared" si="14"/>
        <v>1.1090348846995448E-3</v>
      </c>
      <c r="K29" s="2"/>
      <c r="L29" s="7">
        <f t="shared" si="15"/>
        <v>52.258552884615398</v>
      </c>
      <c r="M29" s="2"/>
      <c r="N29" s="6">
        <f t="shared" si="16"/>
        <v>2.0621771379776344</v>
      </c>
      <c r="O29" s="11"/>
      <c r="P29" s="7">
        <v>223.14</v>
      </c>
      <c r="Q29" s="2"/>
      <c r="R29" s="6">
        <f t="shared" si="17"/>
        <v>2.6431852692349648E-3</v>
      </c>
      <c r="S29" s="2"/>
      <c r="T29" s="7">
        <v>136.141505769231</v>
      </c>
      <c r="U29" s="2"/>
      <c r="V29" s="6">
        <f t="shared" si="18"/>
        <v>1.3870759630079572E-3</v>
      </c>
      <c r="W29" s="2"/>
      <c r="X29" s="7">
        <f t="shared" si="19"/>
        <v>86.998494230768983</v>
      </c>
      <c r="Y29" s="2"/>
      <c r="Z29" s="6">
        <f t="shared" si="20"/>
        <v>0.63902991038043366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7">
        <v>2386.1799999999998</v>
      </c>
      <c r="E30" s="2"/>
      <c r="F30" s="6">
        <f t="shared" si="13"/>
        <v>0.25362526027577809</v>
      </c>
      <c r="G30" s="2"/>
      <c r="H30" s="7">
        <v>953.51259615384697</v>
      </c>
      <c r="I30" s="2"/>
      <c r="J30" s="6">
        <f t="shared" si="14"/>
        <v>4.1729216461875142E-2</v>
      </c>
      <c r="K30" s="2"/>
      <c r="L30" s="7">
        <f t="shared" si="15"/>
        <v>1432.6674038461529</v>
      </c>
      <c r="M30" s="2"/>
      <c r="N30" s="6">
        <f t="shared" si="16"/>
        <v>1.5025154461776984</v>
      </c>
      <c r="O30" s="11"/>
      <c r="P30" s="7">
        <v>7158.55</v>
      </c>
      <c r="Q30" s="2"/>
      <c r="R30" s="6">
        <f t="shared" si="17"/>
        <v>8.4795975213238145E-2</v>
      </c>
      <c r="S30" s="2"/>
      <c r="T30" s="7">
        <v>5250.2388076923098</v>
      </c>
      <c r="U30" s="2"/>
      <c r="V30" s="6">
        <f t="shared" si="18"/>
        <v>5.3491989889885988E-2</v>
      </c>
      <c r="W30" s="2"/>
      <c r="X30" s="7">
        <f t="shared" si="19"/>
        <v>1908.3111923076904</v>
      </c>
      <c r="Y30" s="2"/>
      <c r="Z30" s="6">
        <f t="shared" si="20"/>
        <v>0.3634713128689987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7">
        <v>834.2</v>
      </c>
      <c r="E32" s="2"/>
      <c r="F32" s="6">
        <f t="shared" si="13"/>
        <v>8.8666484557767683E-2</v>
      </c>
      <c r="G32" s="2"/>
      <c r="H32" s="7">
        <v>776.11490384615502</v>
      </c>
      <c r="I32" s="2"/>
      <c r="J32" s="6">
        <f t="shared" si="14"/>
        <v>3.3965641306177463E-2</v>
      </c>
      <c r="K32" s="2"/>
      <c r="L32" s="7">
        <f t="shared" si="15"/>
        <v>58.085096153845029</v>
      </c>
      <c r="M32" s="2"/>
      <c r="N32" s="6">
        <f t="shared" si="16"/>
        <v>7.4840846202019223E-2</v>
      </c>
      <c r="O32" s="11"/>
      <c r="P32" s="7">
        <v>3963.92</v>
      </c>
      <c r="Q32" s="2"/>
      <c r="R32" s="6">
        <f t="shared" si="17"/>
        <v>4.6954266166648127E-2</v>
      </c>
      <c r="S32" s="2"/>
      <c r="T32" s="7">
        <v>4907.4944230769197</v>
      </c>
      <c r="U32" s="2"/>
      <c r="V32" s="6">
        <f t="shared" si="18"/>
        <v>4.9999943179591645E-2</v>
      </c>
      <c r="W32" s="2"/>
      <c r="X32" s="7">
        <f t="shared" si="19"/>
        <v>-943.57442307691963</v>
      </c>
      <c r="Y32" s="2"/>
      <c r="Z32" s="6">
        <f t="shared" si="20"/>
        <v>-0.1922721335433151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7">
        <v>591.51</v>
      </c>
      <c r="E33" s="2"/>
      <c r="F33" s="6">
        <f t="shared" si="13"/>
        <v>6.2871148742226282E-2</v>
      </c>
      <c r="G33" s="2"/>
      <c r="H33" s="7">
        <v>362.020673076923</v>
      </c>
      <c r="I33" s="2"/>
      <c r="J33" s="6">
        <f t="shared" si="14"/>
        <v>1.5843355495707791E-2</v>
      </c>
      <c r="K33" s="2"/>
      <c r="L33" s="7">
        <f t="shared" si="15"/>
        <v>229.48932692307699</v>
      </c>
      <c r="M33" s="2"/>
      <c r="N33" s="6">
        <f t="shared" si="16"/>
        <v>0.63391221548918164</v>
      </c>
      <c r="O33" s="11"/>
      <c r="P33" s="7">
        <v>2634.93</v>
      </c>
      <c r="Q33" s="2"/>
      <c r="R33" s="6">
        <f t="shared" si="17"/>
        <v>3.1211831861007823E-2</v>
      </c>
      <c r="S33" s="2"/>
      <c r="T33" s="7">
        <v>2367.5748076923101</v>
      </c>
      <c r="U33" s="2"/>
      <c r="V33" s="6">
        <f t="shared" si="18"/>
        <v>2.4122005172616506E-2</v>
      </c>
      <c r="W33" s="2"/>
      <c r="X33" s="7">
        <f t="shared" si="19"/>
        <v>267.35519230768978</v>
      </c>
      <c r="Y33" s="2"/>
      <c r="Z33" s="6">
        <f t="shared" si="20"/>
        <v>0.11292365142552034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7">
        <v>567.69000000000005</v>
      </c>
      <c r="E34" s="2"/>
      <c r="F34" s="6">
        <f t="shared" si="13"/>
        <v>6.0339339029728052E-2</v>
      </c>
      <c r="G34" s="2"/>
      <c r="H34" s="7">
        <v>525</v>
      </c>
      <c r="I34" s="2"/>
      <c r="J34" s="6">
        <f t="shared" si="14"/>
        <v>2.2975929978118162E-2</v>
      </c>
      <c r="K34" s="2"/>
      <c r="L34" s="7">
        <f t="shared" si="15"/>
        <v>42.690000000000055</v>
      </c>
      <c r="M34" s="2"/>
      <c r="N34" s="6">
        <f t="shared" si="16"/>
        <v>8.1314285714285825E-2</v>
      </c>
      <c r="O34" s="11"/>
      <c r="P34" s="7">
        <v>1803.74</v>
      </c>
      <c r="Q34" s="2"/>
      <c r="R34" s="6">
        <f t="shared" si="17"/>
        <v>2.1366043728286616E-2</v>
      </c>
      <c r="S34" s="2"/>
      <c r="T34" s="7">
        <v>2100</v>
      </c>
      <c r="U34" s="2"/>
      <c r="V34" s="6">
        <f t="shared" si="18"/>
        <v>2.1395822720326033E-2</v>
      </c>
      <c r="W34" s="2"/>
      <c r="X34" s="7">
        <f t="shared" si="19"/>
        <v>-296.26</v>
      </c>
      <c r="Y34" s="2"/>
      <c r="Z34" s="6">
        <f t="shared" si="20"/>
        <v>-0.14107619047619047</v>
      </c>
    </row>
    <row r="35" spans="1:26" s="28" customFormat="1" outlineLevel="1" collapsed="1" x14ac:dyDescent="0.25">
      <c r="A35" s="29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22697.439999999999</v>
      </c>
      <c r="E35" s="1"/>
      <c r="F35" s="5">
        <f t="shared" ref="F35:F45" si="21">IF(D$12=0,0,D35/D$12)</f>
        <v>2.4124936625040259</v>
      </c>
      <c r="G35" s="1"/>
      <c r="H35" s="1">
        <f>SUM(OSRRefH22_1x_0)</f>
        <v>10988.020192307709</v>
      </c>
      <c r="I35" s="1"/>
      <c r="J35" s="5">
        <f t="shared" ref="J35:J45" si="22">IF(H$12=0,0,H35/H$12)</f>
        <v>0.48087615721259119</v>
      </c>
      <c r="K35" s="1"/>
      <c r="L35" s="1">
        <f t="shared" ref="L35:L45" si="23">+D35-H35</f>
        <v>11709.419807692289</v>
      </c>
      <c r="M35" s="1"/>
      <c r="N35" s="5">
        <f t="shared" ref="N35:N45" si="24">IF(H35=0,0,L35/H35)</f>
        <v>1.0656532844642572</v>
      </c>
      <c r="O35" s="14"/>
      <c r="P35" s="1">
        <f>SUM(OSRRefP22_1x_0)</f>
        <v>77258.540000000008</v>
      </c>
      <c r="Q35" s="1"/>
      <c r="R35" s="5">
        <f t="shared" ref="R35:R45" si="25">IF(P$12=0,0,P35/P$12)</f>
        <v>0.91515924912879953</v>
      </c>
      <c r="S35" s="1"/>
      <c r="T35" s="1">
        <f>SUM(OSRRefT22_1x_0)</f>
        <v>57781.0192307693</v>
      </c>
      <c r="U35" s="1"/>
      <c r="V35" s="5">
        <f t="shared" ref="V35:V45" si="26">IF(T$12=0,0,T35/T$12)</f>
        <v>0.58870116383870907</v>
      </c>
      <c r="W35" s="1"/>
      <c r="X35" s="1">
        <f t="shared" ref="X35:X45" si="27">+P35-T35</f>
        <v>19477.520769230709</v>
      </c>
      <c r="Y35" s="1"/>
      <c r="Z35" s="5">
        <f t="shared" ref="Z35:Z45" si="28">IF(T35=0,0,X35/T35)</f>
        <v>0.33709202482981854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7">
        <v>19378.57</v>
      </c>
      <c r="E37" s="2"/>
      <c r="F37" s="6">
        <f t="shared" si="21"/>
        <v>2.0597334903579716</v>
      </c>
      <c r="G37" s="2"/>
      <c r="H37" s="7">
        <v>9978.6201923077097</v>
      </c>
      <c r="I37" s="2"/>
      <c r="J37" s="6">
        <f t="shared" si="22"/>
        <v>0.43670110250799604</v>
      </c>
      <c r="K37" s="2"/>
      <c r="L37" s="7">
        <f t="shared" si="23"/>
        <v>9399.9498076922901</v>
      </c>
      <c r="M37" s="2"/>
      <c r="N37" s="6">
        <f t="shared" si="24"/>
        <v>0.94200897784830984</v>
      </c>
      <c r="O37" s="11"/>
      <c r="P37" s="7">
        <v>68197.710000000006</v>
      </c>
      <c r="Q37" s="2"/>
      <c r="R37" s="6">
        <f t="shared" si="25"/>
        <v>0.80782998327309352</v>
      </c>
      <c r="S37" s="2"/>
      <c r="T37" s="7">
        <v>53887.619230769298</v>
      </c>
      <c r="U37" s="2"/>
      <c r="V37" s="6">
        <f t="shared" si="26"/>
        <v>0.54903330851522458</v>
      </c>
      <c r="W37" s="2"/>
      <c r="X37" s="7">
        <f t="shared" si="27"/>
        <v>14310.090769230708</v>
      </c>
      <c r="Y37" s="2"/>
      <c r="Z37" s="6">
        <f t="shared" si="28"/>
        <v>0.26555433276702989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7">
        <v>3318.87</v>
      </c>
      <c r="E42" s="2"/>
      <c r="F42" s="6">
        <f t="shared" si="21"/>
        <v>0.35276017214605421</v>
      </c>
      <c r="G42" s="2"/>
      <c r="H42" s="7">
        <v>1009.4</v>
      </c>
      <c r="I42" s="2"/>
      <c r="J42" s="6">
        <f t="shared" si="22"/>
        <v>4.4175054704595186E-2</v>
      </c>
      <c r="K42" s="2"/>
      <c r="L42" s="7">
        <f t="shared" si="23"/>
        <v>2309.4699999999998</v>
      </c>
      <c r="M42" s="2"/>
      <c r="N42" s="6">
        <f t="shared" si="24"/>
        <v>2.2879631464236176</v>
      </c>
      <c r="O42" s="11"/>
      <c r="P42" s="7">
        <v>9060.83</v>
      </c>
      <c r="Q42" s="2"/>
      <c r="R42" s="6">
        <f t="shared" si="25"/>
        <v>0.10732926585570604</v>
      </c>
      <c r="S42" s="2"/>
      <c r="T42" s="7">
        <v>3893.4</v>
      </c>
      <c r="U42" s="2"/>
      <c r="V42" s="6">
        <f t="shared" si="26"/>
        <v>3.9667855323484463E-2</v>
      </c>
      <c r="W42" s="2"/>
      <c r="X42" s="7">
        <f t="shared" si="27"/>
        <v>5167.43</v>
      </c>
      <c r="Y42" s="2"/>
      <c r="Z42" s="6">
        <f t="shared" si="28"/>
        <v>1.3272281296553141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8" customFormat="1" outlineLevel="1" collapsed="1" x14ac:dyDescent="0.25">
      <c r="A46" s="29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97.75</v>
      </c>
      <c r="E46" s="1"/>
      <c r="F46" s="5">
        <f t="shared" ref="F46:F54" si="29">IF(D$12=0,0,D46/D$12)</f>
        <v>1.0389773274420751E-2</v>
      </c>
      <c r="G46" s="1"/>
      <c r="H46" s="1">
        <f>SUM(OSRRefH22_2x_0)</f>
        <v>50</v>
      </c>
      <c r="I46" s="1"/>
      <c r="J46" s="5">
        <f t="shared" ref="J46:J54" si="30">IF(H$12=0,0,H46/H$12)</f>
        <v>2.1881838074398249E-3</v>
      </c>
      <c r="K46" s="1"/>
      <c r="L46" s="1">
        <f t="shared" ref="L46:L54" si="31">+D46-H46</f>
        <v>47.75</v>
      </c>
      <c r="M46" s="1"/>
      <c r="N46" s="5">
        <f t="shared" ref="N46:N54" si="32">IF(H46=0,0,L46/H46)</f>
        <v>0.95499999999999996</v>
      </c>
      <c r="O46" s="14"/>
      <c r="P46" s="1">
        <f>SUM(OSRRefP22_2x_0)</f>
        <v>97.75</v>
      </c>
      <c r="Q46" s="1"/>
      <c r="R46" s="5">
        <f t="shared" ref="R46:R54" si="33">IF(P$12=0,0,P46/P$12)</f>
        <v>1.1578890385754138E-3</v>
      </c>
      <c r="S46" s="1"/>
      <c r="T46" s="1">
        <f>SUM(OSRRefT22_2x_0)</f>
        <v>200</v>
      </c>
      <c r="U46" s="1"/>
      <c r="V46" s="5">
        <f t="shared" ref="V46:V54" si="34">IF(T$12=0,0,T46/T$12)</f>
        <v>2.0376974019358125E-3</v>
      </c>
      <c r="W46" s="1"/>
      <c r="X46" s="1">
        <f t="shared" ref="X46:X54" si="35">+P46-T46</f>
        <v>-102.25</v>
      </c>
      <c r="Y46" s="1"/>
      <c r="Z46" s="5">
        <f t="shared" ref="Z46:Z54" si="36">IF(T46=0,0,X46/T46)</f>
        <v>-0.51124999999999998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7">
        <v>97.75</v>
      </c>
      <c r="E47" s="2"/>
      <c r="F47" s="6">
        <f t="shared" si="29"/>
        <v>1.0389773274420751E-2</v>
      </c>
      <c r="G47" s="2"/>
      <c r="H47" s="7">
        <v>50</v>
      </c>
      <c r="I47" s="2"/>
      <c r="J47" s="6">
        <f t="shared" si="30"/>
        <v>2.1881838074398249E-3</v>
      </c>
      <c r="K47" s="2"/>
      <c r="L47" s="7">
        <f t="shared" si="31"/>
        <v>47.75</v>
      </c>
      <c r="M47" s="2"/>
      <c r="N47" s="6">
        <f t="shared" si="32"/>
        <v>0.95499999999999996</v>
      </c>
      <c r="O47" s="11"/>
      <c r="P47" s="7">
        <v>97.75</v>
      </c>
      <c r="Q47" s="2"/>
      <c r="R47" s="6">
        <f t="shared" si="33"/>
        <v>1.1578890385754138E-3</v>
      </c>
      <c r="S47" s="2"/>
      <c r="T47" s="7">
        <v>200</v>
      </c>
      <c r="U47" s="2"/>
      <c r="V47" s="6">
        <f t="shared" si="34"/>
        <v>2.0376974019358125E-3</v>
      </c>
      <c r="W47" s="2"/>
      <c r="X47" s="7">
        <f t="shared" si="35"/>
        <v>-102.25</v>
      </c>
      <c r="Y47" s="2"/>
      <c r="Z47" s="6">
        <f t="shared" si="36"/>
        <v>-0.51124999999999998</v>
      </c>
    </row>
    <row r="48" spans="1:26" s="28" customFormat="1" outlineLevel="1" collapsed="1" x14ac:dyDescent="0.25">
      <c r="A48" s="29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SUM(OSRRefD22_3x_0)</f>
        <v>169.88</v>
      </c>
      <c r="E48" s="1"/>
      <c r="F48" s="5">
        <f t="shared" si="29"/>
        <v>1.8056416203157004E-2</v>
      </c>
      <c r="G48" s="1"/>
      <c r="H48" s="1">
        <f>SUM(OSRRefH22_3x_0)</f>
        <v>170</v>
      </c>
      <c r="I48" s="1"/>
      <c r="J48" s="5">
        <f t="shared" si="30"/>
        <v>7.4398249452954047E-3</v>
      </c>
      <c r="K48" s="1"/>
      <c r="L48" s="1">
        <f t="shared" si="31"/>
        <v>-0.12000000000000455</v>
      </c>
      <c r="M48" s="1"/>
      <c r="N48" s="5">
        <f t="shared" si="32"/>
        <v>-7.0588235294120319E-4</v>
      </c>
      <c r="O48" s="14"/>
      <c r="P48" s="1">
        <f>SUM(OSRRefP22_3x_0)</f>
        <v>679.52</v>
      </c>
      <c r="Q48" s="1"/>
      <c r="R48" s="5">
        <f t="shared" si="33"/>
        <v>8.0491944705142204E-3</v>
      </c>
      <c r="S48" s="1"/>
      <c r="T48" s="1">
        <f>SUM(OSRRefT22_3x_0)</f>
        <v>680</v>
      </c>
      <c r="U48" s="1"/>
      <c r="V48" s="5">
        <f t="shared" si="34"/>
        <v>6.9281711665817626E-3</v>
      </c>
      <c r="W48" s="1"/>
      <c r="X48" s="1">
        <f t="shared" si="35"/>
        <v>-0.48000000000001819</v>
      </c>
      <c r="Y48" s="1"/>
      <c r="Z48" s="5">
        <f t="shared" si="36"/>
        <v>-7.0588235294120319E-4</v>
      </c>
    </row>
    <row r="49" spans="1:26" s="24" customFormat="1" hidden="1" outlineLevel="2" x14ac:dyDescent="0.25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169.88</v>
      </c>
      <c r="E49" s="2"/>
      <c r="F49" s="6">
        <f t="shared" si="29"/>
        <v>1.8056416203157004E-2</v>
      </c>
      <c r="G49" s="2"/>
      <c r="H49" s="7">
        <v>170</v>
      </c>
      <c r="I49" s="2"/>
      <c r="J49" s="6">
        <f t="shared" si="30"/>
        <v>7.4398249452954047E-3</v>
      </c>
      <c r="K49" s="2"/>
      <c r="L49" s="7">
        <f t="shared" si="31"/>
        <v>-0.12000000000000455</v>
      </c>
      <c r="M49" s="2"/>
      <c r="N49" s="6">
        <f t="shared" si="32"/>
        <v>-7.0588235294120319E-4</v>
      </c>
      <c r="O49" s="11"/>
      <c r="P49" s="7">
        <v>679.52</v>
      </c>
      <c r="Q49" s="2"/>
      <c r="R49" s="6">
        <f t="shared" si="33"/>
        <v>8.0491944705142204E-3</v>
      </c>
      <c r="S49" s="2"/>
      <c r="T49" s="7">
        <v>680</v>
      </c>
      <c r="U49" s="2"/>
      <c r="V49" s="6">
        <f t="shared" si="34"/>
        <v>6.9281711665817626E-3</v>
      </c>
      <c r="W49" s="2"/>
      <c r="X49" s="7">
        <f t="shared" si="35"/>
        <v>-0.48000000000001819</v>
      </c>
      <c r="Y49" s="2"/>
      <c r="Z49" s="6">
        <f t="shared" si="36"/>
        <v>-7.0588235294120319E-4</v>
      </c>
    </row>
    <row r="50" spans="1:26" s="28" customFormat="1" outlineLevel="1" collapsed="1" x14ac:dyDescent="0.25">
      <c r="A50" s="29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SUM(OSRRefD22_4x_0)</f>
        <v>1205.6400000000001</v>
      </c>
      <c r="E50" s="1"/>
      <c r="F50" s="5">
        <f t="shared" si="29"/>
        <v>0.12814656010815995</v>
      </c>
      <c r="G50" s="1"/>
      <c r="H50" s="1">
        <f>SUM(OSRRefH22_4x_0)</f>
        <v>1300</v>
      </c>
      <c r="I50" s="1"/>
      <c r="J50" s="5">
        <f t="shared" si="30"/>
        <v>5.689277899343545E-2</v>
      </c>
      <c r="K50" s="1"/>
      <c r="L50" s="1">
        <f t="shared" si="31"/>
        <v>-94.3599999999999</v>
      </c>
      <c r="M50" s="1"/>
      <c r="N50" s="5">
        <f t="shared" si="32"/>
        <v>-7.2584615384615303E-2</v>
      </c>
      <c r="O50" s="14"/>
      <c r="P50" s="1">
        <f>SUM(OSRRefP22_4x_0)</f>
        <v>4822.5600000000004</v>
      </c>
      <c r="Q50" s="1"/>
      <c r="R50" s="5">
        <f t="shared" si="33"/>
        <v>5.7125210863143198E-2</v>
      </c>
      <c r="S50" s="1"/>
      <c r="T50" s="1">
        <f>SUM(OSRRefT22_4x_0)</f>
        <v>5000</v>
      </c>
      <c r="U50" s="1"/>
      <c r="V50" s="5">
        <f t="shared" si="34"/>
        <v>5.0942435048395317E-2</v>
      </c>
      <c r="W50" s="1"/>
      <c r="X50" s="1">
        <f t="shared" si="35"/>
        <v>-177.4399999999996</v>
      </c>
      <c r="Y50" s="1"/>
      <c r="Z50" s="5">
        <f t="shared" si="36"/>
        <v>-3.5487999999999922E-2</v>
      </c>
    </row>
    <row r="51" spans="1:26" s="24" customFormat="1" hidden="1" outlineLevel="2" x14ac:dyDescent="0.25">
      <c r="A51" s="27"/>
      <c r="B51" s="11" t="str">
        <f>CONCATENATE("          ", "6351", " - ", "EQUIPMENT RENTAL")</f>
        <v xml:space="preserve">          6351 - EQUIPMENT RENTAL</v>
      </c>
      <c r="C51" s="11"/>
      <c r="D51" s="7">
        <v>1205.6400000000001</v>
      </c>
      <c r="E51" s="2"/>
      <c r="F51" s="6">
        <f t="shared" si="29"/>
        <v>0.12814656010815995</v>
      </c>
      <c r="G51" s="2"/>
      <c r="H51" s="7">
        <v>1300</v>
      </c>
      <c r="I51" s="2"/>
      <c r="J51" s="6">
        <f t="shared" si="30"/>
        <v>5.689277899343545E-2</v>
      </c>
      <c r="K51" s="2"/>
      <c r="L51" s="7">
        <f t="shared" si="31"/>
        <v>-94.3599999999999</v>
      </c>
      <c r="M51" s="2"/>
      <c r="N51" s="6">
        <f t="shared" si="32"/>
        <v>-7.2584615384615303E-2</v>
      </c>
      <c r="O51" s="11"/>
      <c r="P51" s="7">
        <v>4822.5600000000004</v>
      </c>
      <c r="Q51" s="2"/>
      <c r="R51" s="6">
        <f t="shared" si="33"/>
        <v>5.7125210863143198E-2</v>
      </c>
      <c r="S51" s="2"/>
      <c r="T51" s="7">
        <v>5000</v>
      </c>
      <c r="U51" s="2"/>
      <c r="V51" s="6">
        <f t="shared" si="34"/>
        <v>5.0942435048395317E-2</v>
      </c>
      <c r="W51" s="2"/>
      <c r="X51" s="7">
        <f t="shared" si="35"/>
        <v>-177.4399999999996</v>
      </c>
      <c r="Y51" s="2"/>
      <c r="Z51" s="6">
        <f t="shared" si="36"/>
        <v>-3.5487999999999922E-2</v>
      </c>
    </row>
    <row r="52" spans="1:26" s="28" customFormat="1" outlineLevel="1" collapsed="1" x14ac:dyDescent="0.25">
      <c r="A52" s="29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SUM(OSRRefD22_5x_0)</f>
        <v>-24784.420000000002</v>
      </c>
      <c r="E52" s="1"/>
      <c r="F52" s="5">
        <f t="shared" si="29"/>
        <v>-2.6343171819746205</v>
      </c>
      <c r="G52" s="1"/>
      <c r="H52" s="1">
        <f>SUM(OSRRefH22_5x_0)</f>
        <v>43300</v>
      </c>
      <c r="I52" s="1"/>
      <c r="J52" s="5">
        <f t="shared" si="30"/>
        <v>1.8949671772428884</v>
      </c>
      <c r="K52" s="1"/>
      <c r="L52" s="1">
        <f t="shared" si="31"/>
        <v>-68084.42</v>
      </c>
      <c r="M52" s="1"/>
      <c r="N52" s="5">
        <f t="shared" si="32"/>
        <v>-1.5723884526558891</v>
      </c>
      <c r="O52" s="14"/>
      <c r="P52" s="1">
        <f>SUM(OSRRefP22_5x_0)</f>
        <v>-39187.54</v>
      </c>
      <c r="Q52" s="1"/>
      <c r="R52" s="5">
        <f t="shared" si="33"/>
        <v>-0.46419256281059407</v>
      </c>
      <c r="S52" s="1"/>
      <c r="T52" s="1">
        <f>SUM(OSRRefT22_5x_0)</f>
        <v>-6000</v>
      </c>
      <c r="U52" s="1"/>
      <c r="V52" s="5">
        <f t="shared" si="34"/>
        <v>-6.1130922058074376E-2</v>
      </c>
      <c r="W52" s="1"/>
      <c r="X52" s="1">
        <f t="shared" si="35"/>
        <v>-33187.54</v>
      </c>
      <c r="Y52" s="1"/>
      <c r="Z52" s="5">
        <f t="shared" si="36"/>
        <v>5.5312566666666667</v>
      </c>
    </row>
    <row r="53" spans="1:26" s="24" customFormat="1" hidden="1" outlineLevel="2" x14ac:dyDescent="0.25">
      <c r="A53" s="27"/>
      <c r="B53" s="11" t="str">
        <f>CONCATENATE("          ", "6305", " - ", "FREIGHT OUT")</f>
        <v xml:space="preserve">          6305 - FREIGHT OUT</v>
      </c>
      <c r="C53" s="11"/>
      <c r="D53" s="7">
        <v>26152.05</v>
      </c>
      <c r="E53" s="2"/>
      <c r="F53" s="6">
        <f t="shared" si="29"/>
        <v>2.7796815361771374</v>
      </c>
      <c r="G53" s="2"/>
      <c r="H53" s="7">
        <v>55000</v>
      </c>
      <c r="I53" s="2"/>
      <c r="J53" s="6">
        <f t="shared" si="30"/>
        <v>2.4070021881838075</v>
      </c>
      <c r="K53" s="2"/>
      <c r="L53" s="7">
        <f t="shared" si="31"/>
        <v>-28847.95</v>
      </c>
      <c r="M53" s="2"/>
      <c r="N53" s="6">
        <f t="shared" si="32"/>
        <v>-0.52450818181818182</v>
      </c>
      <c r="O53" s="11"/>
      <c r="P53" s="7">
        <v>53480.79</v>
      </c>
      <c r="Q53" s="2"/>
      <c r="R53" s="6">
        <f t="shared" si="33"/>
        <v>0.63350200015707014</v>
      </c>
      <c r="S53" s="2"/>
      <c r="T53" s="7">
        <v>71300</v>
      </c>
      <c r="U53" s="2"/>
      <c r="V53" s="6">
        <f t="shared" si="34"/>
        <v>0.72643912379011721</v>
      </c>
      <c r="W53" s="2"/>
      <c r="X53" s="7">
        <f t="shared" si="35"/>
        <v>-17819.21</v>
      </c>
      <c r="Y53" s="2"/>
      <c r="Z53" s="6">
        <f t="shared" si="36"/>
        <v>-0.24991879382889198</v>
      </c>
    </row>
    <row r="54" spans="1:26" s="24" customFormat="1" hidden="1" outlineLevel="2" x14ac:dyDescent="0.25">
      <c r="A54" s="27"/>
      <c r="B54" s="11" t="str">
        <f>CONCATENATE("          ", "6307", " - ", "POSTAGE")</f>
        <v xml:space="preserve">          6307 - POSTAGE</v>
      </c>
      <c r="C54" s="11"/>
      <c r="D54" s="7">
        <v>-50936.47</v>
      </c>
      <c r="E54" s="2"/>
      <c r="F54" s="6">
        <f t="shared" si="29"/>
        <v>-5.4139987181517579</v>
      </c>
      <c r="G54" s="2"/>
      <c r="H54" s="7">
        <v>-11700</v>
      </c>
      <c r="I54" s="2"/>
      <c r="J54" s="6">
        <f t="shared" si="30"/>
        <v>-0.51203501094091908</v>
      </c>
      <c r="K54" s="2"/>
      <c r="L54" s="7">
        <f t="shared" si="31"/>
        <v>-39236.47</v>
      </c>
      <c r="M54" s="2"/>
      <c r="N54" s="6">
        <f t="shared" si="32"/>
        <v>3.3535444444444447</v>
      </c>
      <c r="O54" s="11"/>
      <c r="P54" s="7">
        <v>-92668.33</v>
      </c>
      <c r="Q54" s="2"/>
      <c r="R54" s="6">
        <f t="shared" si="33"/>
        <v>-1.0976945629676642</v>
      </c>
      <c r="S54" s="2"/>
      <c r="T54" s="7">
        <v>-77300</v>
      </c>
      <c r="U54" s="2"/>
      <c r="V54" s="6">
        <f t="shared" si="34"/>
        <v>-0.78757004584819157</v>
      </c>
      <c r="W54" s="2"/>
      <c r="X54" s="7">
        <f t="shared" si="35"/>
        <v>-15368.330000000002</v>
      </c>
      <c r="Y54" s="2"/>
      <c r="Z54" s="6">
        <f t="shared" si="36"/>
        <v>0.19881410090556276</v>
      </c>
    </row>
    <row r="55" spans="1:26" s="28" customFormat="1" outlineLevel="1" collapsed="1" x14ac:dyDescent="0.25">
      <c r="A55" s="29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SUM(OSRRefD22_6x_0)</f>
        <v>0</v>
      </c>
      <c r="E55" s="1"/>
      <c r="F55" s="5">
        <f t="shared" ref="F55:F60" si="37">IF(D$12=0,0,D55/D$12)</f>
        <v>0</v>
      </c>
      <c r="G55" s="1"/>
      <c r="H55" s="1">
        <f>SUM(OSRRefH22_6x_0)</f>
        <v>0</v>
      </c>
      <c r="I55" s="1"/>
      <c r="J55" s="5">
        <f t="shared" ref="J55:J60" si="38">IF(H$12=0,0,H55/H$12)</f>
        <v>0</v>
      </c>
      <c r="K55" s="1"/>
      <c r="L55" s="1">
        <f t="shared" ref="L55:L60" si="39">+D55-H55</f>
        <v>0</v>
      </c>
      <c r="M55" s="1"/>
      <c r="N55" s="5">
        <f t="shared" ref="N55:N60" si="40">IF(H55=0,0,L55/H55)</f>
        <v>0</v>
      </c>
      <c r="O55" s="14"/>
      <c r="P55" s="1">
        <f>SUM(OSRRefP22_6x_0)</f>
        <v>91.31</v>
      </c>
      <c r="Q55" s="1"/>
      <c r="R55" s="5">
        <f t="shared" ref="R55:R60" si="41">IF(P$12=0,0,P55/P$12)</f>
        <v>1.0816045842692689E-3</v>
      </c>
      <c r="S55" s="1"/>
      <c r="T55" s="1">
        <f>SUM(OSRRefT22_6x_0)</f>
        <v>0</v>
      </c>
      <c r="U55" s="1"/>
      <c r="V55" s="5">
        <f t="shared" ref="V55:V60" si="42">IF(T$12=0,0,T55/T$12)</f>
        <v>0</v>
      </c>
      <c r="W55" s="1"/>
      <c r="X55" s="1">
        <f t="shared" ref="X55:X60" si="43">+P55-T55</f>
        <v>91.31</v>
      </c>
      <c r="Y55" s="1"/>
      <c r="Z55" s="5">
        <f t="shared" ref="Z55:Z60" si="44">IF(T55=0,0,X55/T55)</f>
        <v>0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37"/>
        <v>0</v>
      </c>
      <c r="G56" s="2"/>
      <c r="H56" s="7"/>
      <c r="I56" s="2"/>
      <c r="J56" s="6">
        <f t="shared" si="38"/>
        <v>0</v>
      </c>
      <c r="K56" s="2"/>
      <c r="L56" s="7">
        <f t="shared" si="39"/>
        <v>0</v>
      </c>
      <c r="M56" s="2"/>
      <c r="N56" s="6">
        <f t="shared" si="40"/>
        <v>0</v>
      </c>
      <c r="O56" s="11"/>
      <c r="P56" s="7">
        <v>91.31</v>
      </c>
      <c r="Q56" s="2"/>
      <c r="R56" s="6">
        <f t="shared" si="41"/>
        <v>1.0816045842692689E-3</v>
      </c>
      <c r="S56" s="2"/>
      <c r="T56" s="7"/>
      <c r="U56" s="2"/>
      <c r="V56" s="6">
        <f t="shared" si="42"/>
        <v>0</v>
      </c>
      <c r="W56" s="2"/>
      <c r="X56" s="7">
        <f t="shared" si="43"/>
        <v>91.31</v>
      </c>
      <c r="Y56" s="2"/>
      <c r="Z56" s="6">
        <f t="shared" si="44"/>
        <v>0</v>
      </c>
    </row>
    <row r="57" spans="1:26" s="28" customFormat="1" outlineLevel="1" collapsed="1" x14ac:dyDescent="0.25">
      <c r="A57" s="29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SUM(OSRRefD22_7x_0)</f>
        <v>8307.630000000001</v>
      </c>
      <c r="E57" s="1"/>
      <c r="F57" s="5">
        <f t="shared" si="37"/>
        <v>0.88301168437622579</v>
      </c>
      <c r="G57" s="1"/>
      <c r="H57" s="1">
        <f>SUM(OSRRefH22_7x_0)</f>
        <v>4600</v>
      </c>
      <c r="I57" s="1"/>
      <c r="J57" s="5">
        <f t="shared" si="38"/>
        <v>0.20131291028446391</v>
      </c>
      <c r="K57" s="1"/>
      <c r="L57" s="1">
        <f t="shared" si="39"/>
        <v>3707.630000000001</v>
      </c>
      <c r="M57" s="1"/>
      <c r="N57" s="5">
        <f t="shared" si="40"/>
        <v>0.80600652173913068</v>
      </c>
      <c r="O57" s="14"/>
      <c r="P57" s="1">
        <f>SUM(OSRRefP22_7x_0)</f>
        <v>12385.15</v>
      </c>
      <c r="Q57" s="1"/>
      <c r="R57" s="5">
        <f t="shared" si="41"/>
        <v>0.14670720640524076</v>
      </c>
      <c r="S57" s="1"/>
      <c r="T57" s="1">
        <f>SUM(OSRRefT22_7x_0)</f>
        <v>22600</v>
      </c>
      <c r="U57" s="1"/>
      <c r="V57" s="5">
        <f t="shared" si="42"/>
        <v>0.23025980641874683</v>
      </c>
      <c r="W57" s="1"/>
      <c r="X57" s="1">
        <f t="shared" si="43"/>
        <v>-10214.85</v>
      </c>
      <c r="Y57" s="1"/>
      <c r="Z57" s="5">
        <f t="shared" si="44"/>
        <v>-0.45198451327433631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37"/>
        <v>0</v>
      </c>
      <c r="G58" s="2"/>
      <c r="H58" s="7">
        <v>100</v>
      </c>
      <c r="I58" s="2"/>
      <c r="J58" s="6">
        <f t="shared" si="38"/>
        <v>4.3763676148796497E-3</v>
      </c>
      <c r="K58" s="2"/>
      <c r="L58" s="7">
        <f t="shared" si="39"/>
        <v>-100</v>
      </c>
      <c r="M58" s="2"/>
      <c r="N58" s="6">
        <f t="shared" si="40"/>
        <v>-1</v>
      </c>
      <c r="O58" s="11"/>
      <c r="P58" s="7"/>
      <c r="Q58" s="2"/>
      <c r="R58" s="6">
        <f t="shared" si="41"/>
        <v>0</v>
      </c>
      <c r="S58" s="2"/>
      <c r="T58" s="7">
        <v>100</v>
      </c>
      <c r="U58" s="2"/>
      <c r="V58" s="6">
        <f t="shared" si="42"/>
        <v>1.0188487009679063E-3</v>
      </c>
      <c r="W58" s="2"/>
      <c r="X58" s="7">
        <f t="shared" si="43"/>
        <v>-100</v>
      </c>
      <c r="Y58" s="2"/>
      <c r="Z58" s="6">
        <f t="shared" si="44"/>
        <v>-1</v>
      </c>
    </row>
    <row r="59" spans="1:26" s="24" customFormat="1" hidden="1" outlineLevel="2" x14ac:dyDescent="0.25">
      <c r="A59" s="27"/>
      <c r="B59" s="11" t="str">
        <f>CONCATENATE("          ", "6373", " - ", "MAINTENANCE CONTRACTS")</f>
        <v xml:space="preserve">          6373 - MAINTENANCE CONTRACTS</v>
      </c>
      <c r="C59" s="11"/>
      <c r="D59" s="7">
        <v>3806.46</v>
      </c>
      <c r="E59" s="2"/>
      <c r="F59" s="6">
        <f t="shared" si="37"/>
        <v>0.40458574299899347</v>
      </c>
      <c r="G59" s="2"/>
      <c r="H59" s="7">
        <v>4500</v>
      </c>
      <c r="I59" s="2"/>
      <c r="J59" s="6">
        <f t="shared" si="38"/>
        <v>0.19693654266958424</v>
      </c>
      <c r="K59" s="2"/>
      <c r="L59" s="7">
        <f t="shared" si="39"/>
        <v>-693.54</v>
      </c>
      <c r="M59" s="2"/>
      <c r="N59" s="6">
        <f t="shared" si="40"/>
        <v>-0.15411999999999998</v>
      </c>
      <c r="O59" s="11"/>
      <c r="P59" s="7">
        <v>4487.54</v>
      </c>
      <c r="Q59" s="2"/>
      <c r="R59" s="6">
        <f t="shared" si="41"/>
        <v>5.3156760881521353E-2</v>
      </c>
      <c r="S59" s="2"/>
      <c r="T59" s="7">
        <v>22500</v>
      </c>
      <c r="U59" s="2"/>
      <c r="V59" s="6">
        <f t="shared" si="42"/>
        <v>0.22924095771777891</v>
      </c>
      <c r="W59" s="2"/>
      <c r="X59" s="7">
        <f t="shared" si="43"/>
        <v>-18012.46</v>
      </c>
      <c r="Y59" s="2"/>
      <c r="Z59" s="6">
        <f t="shared" si="44"/>
        <v>-0.8005537777777777</v>
      </c>
    </row>
    <row r="60" spans="1:26" s="24" customFormat="1" hidden="1" outlineLevel="2" x14ac:dyDescent="0.25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7">
        <v>4501.17</v>
      </c>
      <c r="E60" s="2"/>
      <c r="F60" s="6">
        <f t="shared" si="37"/>
        <v>0.47842594137723227</v>
      </c>
      <c r="G60" s="2"/>
      <c r="H60" s="7"/>
      <c r="I60" s="2"/>
      <c r="J60" s="6">
        <f t="shared" si="38"/>
        <v>0</v>
      </c>
      <c r="K60" s="2"/>
      <c r="L60" s="7">
        <f t="shared" si="39"/>
        <v>4501.17</v>
      </c>
      <c r="M60" s="2"/>
      <c r="N60" s="6">
        <f t="shared" si="40"/>
        <v>0</v>
      </c>
      <c r="O60" s="11"/>
      <c r="P60" s="7">
        <v>7897.61</v>
      </c>
      <c r="Q60" s="2"/>
      <c r="R60" s="6">
        <f t="shared" si="41"/>
        <v>9.3550445523719411E-2</v>
      </c>
      <c r="S60" s="2"/>
      <c r="T60" s="7"/>
      <c r="U60" s="2"/>
      <c r="V60" s="6">
        <f t="shared" si="42"/>
        <v>0</v>
      </c>
      <c r="W60" s="2"/>
      <c r="X60" s="7">
        <f t="shared" si="43"/>
        <v>7897.61</v>
      </c>
      <c r="Y60" s="2"/>
      <c r="Z60" s="6">
        <f t="shared" si="44"/>
        <v>0</v>
      </c>
    </row>
    <row r="61" spans="1:26" s="28" customFormat="1" outlineLevel="1" collapsed="1" x14ac:dyDescent="0.25">
      <c r="A61" s="29"/>
      <c r="B61" s="14" t="str">
        <f>CONCATENATE("     ","Royalty &amp; Commissions                             ")</f>
        <v xml:space="preserve">     Royalty &amp; Commissions                             </v>
      </c>
      <c r="C61" s="14"/>
      <c r="D61" s="1">
        <f>SUM(OSRRefD22_8x_0)</f>
        <v>1925.97</v>
      </c>
      <c r="E61" s="1"/>
      <c r="F61" s="5">
        <f t="shared" ref="F61:F67" si="45">IF(D$12=0,0,D61/D$12)</f>
        <v>0.20470988883208321</v>
      </c>
      <c r="G61" s="1"/>
      <c r="H61" s="1">
        <f>SUM(OSRRefH22_8x_0)</f>
        <v>200</v>
      </c>
      <c r="I61" s="1"/>
      <c r="J61" s="5">
        <f t="shared" ref="J61:J67" si="46">IF(H$12=0,0,H61/H$12)</f>
        <v>8.7527352297592995E-3</v>
      </c>
      <c r="K61" s="1"/>
      <c r="L61" s="1">
        <f t="shared" ref="L61:L67" si="47">+D61-H61</f>
        <v>1725.97</v>
      </c>
      <c r="M61" s="1"/>
      <c r="N61" s="5">
        <f t="shared" ref="N61:N67" si="48">IF(H61=0,0,L61/H61)</f>
        <v>8.6298499999999994</v>
      </c>
      <c r="O61" s="14"/>
      <c r="P61" s="1">
        <f>SUM(OSRRefP22_8x_0)</f>
        <v>3708.14</v>
      </c>
      <c r="Q61" s="1"/>
      <c r="R61" s="5">
        <f t="shared" ref="R61:R67" si="49">IF(P$12=0,0,P61/P$12)</f>
        <v>4.3924446644532322E-2</v>
      </c>
      <c r="S61" s="1"/>
      <c r="T61" s="1">
        <f>SUM(OSRRefT22_8x_0)</f>
        <v>9700</v>
      </c>
      <c r="U61" s="1"/>
      <c r="V61" s="5">
        <f t="shared" ref="V61:V67" si="50">IF(T$12=0,0,T61/T$12)</f>
        <v>9.8828323993886913E-2</v>
      </c>
      <c r="W61" s="1"/>
      <c r="X61" s="1">
        <f t="shared" ref="X61:X67" si="51">+P61-T61</f>
        <v>-5991.8600000000006</v>
      </c>
      <c r="Y61" s="1"/>
      <c r="Z61" s="5">
        <f t="shared" ref="Z61:Z67" si="52">IF(T61=0,0,X61/T61)</f>
        <v>-0.61771752577319594</v>
      </c>
    </row>
    <row r="62" spans="1:26" s="24" customFormat="1" hidden="1" outlineLevel="2" x14ac:dyDescent="0.25">
      <c r="A62" s="27"/>
      <c r="B62" s="11" t="str">
        <f>CONCATENATE("          ", "6259", " - ", "ROYALTY &amp; COMMISSIONS")</f>
        <v xml:space="preserve">          6259 - ROYALTY &amp; COMMISSIONS</v>
      </c>
      <c r="C62" s="11"/>
      <c r="D62" s="7">
        <v>1925.97</v>
      </c>
      <c r="E62" s="2"/>
      <c r="F62" s="6">
        <f t="shared" si="45"/>
        <v>0.20470988883208321</v>
      </c>
      <c r="G62" s="2"/>
      <c r="H62" s="7">
        <v>200</v>
      </c>
      <c r="I62" s="2"/>
      <c r="J62" s="6">
        <f t="shared" si="46"/>
        <v>8.7527352297592995E-3</v>
      </c>
      <c r="K62" s="2"/>
      <c r="L62" s="7">
        <f t="shared" si="47"/>
        <v>1725.97</v>
      </c>
      <c r="M62" s="2"/>
      <c r="N62" s="6">
        <f t="shared" si="48"/>
        <v>8.6298499999999994</v>
      </c>
      <c r="O62" s="11"/>
      <c r="P62" s="7">
        <v>3708.14</v>
      </c>
      <c r="Q62" s="2"/>
      <c r="R62" s="6">
        <f t="shared" si="49"/>
        <v>4.3924446644532322E-2</v>
      </c>
      <c r="S62" s="2"/>
      <c r="T62" s="7">
        <v>9700</v>
      </c>
      <c r="U62" s="2"/>
      <c r="V62" s="6">
        <f t="shared" si="50"/>
        <v>9.8828323993886913E-2</v>
      </c>
      <c r="W62" s="2"/>
      <c r="X62" s="7">
        <f t="shared" si="51"/>
        <v>-5991.8600000000006</v>
      </c>
      <c r="Y62" s="2"/>
      <c r="Z62" s="6">
        <f t="shared" si="52"/>
        <v>-0.61771752577319594</v>
      </c>
    </row>
    <row r="63" spans="1:26" s="28" customFormat="1" outlineLevel="1" collapsed="1" x14ac:dyDescent="0.25">
      <c r="A63" s="29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SUM(OSRRefD22_9x_0)</f>
        <v>3516.3199999999997</v>
      </c>
      <c r="E63" s="1"/>
      <c r="F63" s="5">
        <f t="shared" si="45"/>
        <v>0.37374698271418078</v>
      </c>
      <c r="G63" s="1"/>
      <c r="H63" s="1">
        <f>SUM(OSRRefH22_9x_0)</f>
        <v>4050</v>
      </c>
      <c r="I63" s="1"/>
      <c r="J63" s="5">
        <f t="shared" si="46"/>
        <v>0.17724288840262581</v>
      </c>
      <c r="K63" s="1"/>
      <c r="L63" s="1">
        <f t="shared" si="47"/>
        <v>-533.68000000000029</v>
      </c>
      <c r="M63" s="1"/>
      <c r="N63" s="5">
        <f t="shared" si="48"/>
        <v>-0.13177283950617291</v>
      </c>
      <c r="O63" s="14"/>
      <c r="P63" s="1">
        <f>SUM(OSRRefP22_9x_0)</f>
        <v>16555.43</v>
      </c>
      <c r="Q63" s="1"/>
      <c r="R63" s="5">
        <f t="shared" si="49"/>
        <v>0.19610589182509014</v>
      </c>
      <c r="S63" s="1"/>
      <c r="T63" s="1">
        <f>SUM(OSRRefT22_9x_0)</f>
        <v>18610</v>
      </c>
      <c r="U63" s="1"/>
      <c r="V63" s="5">
        <f t="shared" si="50"/>
        <v>0.18960774325012736</v>
      </c>
      <c r="W63" s="1"/>
      <c r="X63" s="1">
        <f t="shared" si="51"/>
        <v>-2054.5699999999997</v>
      </c>
      <c r="Y63" s="1"/>
      <c r="Z63" s="5">
        <f t="shared" si="52"/>
        <v>-0.11040139709833421</v>
      </c>
    </row>
    <row r="64" spans="1:26" s="24" customFormat="1" hidden="1" outlineLevel="2" x14ac:dyDescent="0.25">
      <c r="A64" s="27"/>
      <c r="B64" s="11" t="str">
        <f>CONCATENATE("          ", "6241", " - ", "OFFICE EXPENSE")</f>
        <v xml:space="preserve">          6241 - OFFICE EXPENSE</v>
      </c>
      <c r="C64" s="11"/>
      <c r="D64" s="7">
        <v>3.96</v>
      </c>
      <c r="E64" s="2"/>
      <c r="F64" s="6">
        <f t="shared" si="45"/>
        <v>4.2090539300978185E-4</v>
      </c>
      <c r="G64" s="2"/>
      <c r="H64" s="7"/>
      <c r="I64" s="2"/>
      <c r="J64" s="6">
        <f t="shared" si="46"/>
        <v>0</v>
      </c>
      <c r="K64" s="2"/>
      <c r="L64" s="7">
        <f t="shared" si="47"/>
        <v>3.96</v>
      </c>
      <c r="M64" s="2"/>
      <c r="N64" s="6">
        <f t="shared" si="48"/>
        <v>0</v>
      </c>
      <c r="O64" s="11"/>
      <c r="P64" s="7">
        <v>4835.71</v>
      </c>
      <c r="Q64" s="2"/>
      <c r="R64" s="6">
        <f t="shared" si="49"/>
        <v>5.7280978033038506E-2</v>
      </c>
      <c r="S64" s="2"/>
      <c r="T64" s="7"/>
      <c r="U64" s="2"/>
      <c r="V64" s="6">
        <f t="shared" si="50"/>
        <v>0</v>
      </c>
      <c r="W64" s="2"/>
      <c r="X64" s="7">
        <f t="shared" si="51"/>
        <v>4835.71</v>
      </c>
      <c r="Y64" s="2"/>
      <c r="Z64" s="6">
        <f t="shared" si="52"/>
        <v>0</v>
      </c>
    </row>
    <row r="65" spans="1:26" s="24" customFormat="1" hidden="1" outlineLevel="2" x14ac:dyDescent="0.25">
      <c r="A65" s="27"/>
      <c r="B65" s="11" t="str">
        <f>CONCATENATE("          ", "6243", " - ", "PAPER SUPPLIES")</f>
        <v xml:space="preserve">          6243 - PAPER SUPPLIES</v>
      </c>
      <c r="C65" s="11"/>
      <c r="D65" s="7">
        <v>735.87</v>
      </c>
      <c r="E65" s="2"/>
      <c r="F65" s="6">
        <f t="shared" si="45"/>
        <v>7.8215063523764686E-2</v>
      </c>
      <c r="G65" s="2"/>
      <c r="H65" s="7">
        <v>3500</v>
      </c>
      <c r="I65" s="2"/>
      <c r="J65" s="6">
        <f t="shared" si="46"/>
        <v>0.15317286652078774</v>
      </c>
      <c r="K65" s="2"/>
      <c r="L65" s="7">
        <f t="shared" si="47"/>
        <v>-2764.13</v>
      </c>
      <c r="M65" s="2"/>
      <c r="N65" s="6">
        <f t="shared" si="48"/>
        <v>-0.78975142857142855</v>
      </c>
      <c r="O65" s="11"/>
      <c r="P65" s="7">
        <v>4186.79</v>
      </c>
      <c r="Q65" s="2"/>
      <c r="R65" s="6">
        <f t="shared" si="49"/>
        <v>4.9594253174600068E-2</v>
      </c>
      <c r="S65" s="2"/>
      <c r="T65" s="7">
        <v>16100</v>
      </c>
      <c r="U65" s="2"/>
      <c r="V65" s="6">
        <f t="shared" si="50"/>
        <v>0.16403464085583291</v>
      </c>
      <c r="W65" s="2"/>
      <c r="X65" s="7">
        <f t="shared" si="51"/>
        <v>-11913.21</v>
      </c>
      <c r="Y65" s="2"/>
      <c r="Z65" s="6">
        <f t="shared" si="52"/>
        <v>-0.73995093167701853</v>
      </c>
    </row>
    <row r="66" spans="1:26" s="24" customFormat="1" hidden="1" outlineLevel="2" x14ac:dyDescent="0.25">
      <c r="A66" s="27"/>
      <c r="B66" s="11" t="str">
        <f>CONCATENATE("          ", "6245", " - ", "PRINTING")</f>
        <v xml:space="preserve">          6245 - PRINTING</v>
      </c>
      <c r="C66" s="11"/>
      <c r="D66" s="7">
        <v>296.68</v>
      </c>
      <c r="E66" s="2"/>
      <c r="F66" s="6">
        <f t="shared" si="45"/>
        <v>3.1533891918722745E-2</v>
      </c>
      <c r="G66" s="2"/>
      <c r="H66" s="7">
        <v>250</v>
      </c>
      <c r="I66" s="2"/>
      <c r="J66" s="6">
        <f t="shared" si="46"/>
        <v>1.0940919037199124E-2</v>
      </c>
      <c r="K66" s="2"/>
      <c r="L66" s="7">
        <f t="shared" si="47"/>
        <v>46.680000000000007</v>
      </c>
      <c r="M66" s="2"/>
      <c r="N66" s="6">
        <f t="shared" si="48"/>
        <v>0.18672000000000002</v>
      </c>
      <c r="O66" s="11"/>
      <c r="P66" s="7">
        <v>-362.39</v>
      </c>
      <c r="Q66" s="2"/>
      <c r="R66" s="6">
        <f t="shared" si="49"/>
        <v>-4.2926589124229579E-3</v>
      </c>
      <c r="S66" s="2"/>
      <c r="T66" s="7">
        <v>1905</v>
      </c>
      <c r="U66" s="2"/>
      <c r="V66" s="6">
        <f t="shared" si="50"/>
        <v>1.9409067753438616E-2</v>
      </c>
      <c r="W66" s="2"/>
      <c r="X66" s="7">
        <f t="shared" si="51"/>
        <v>-2267.39</v>
      </c>
      <c r="Y66" s="2"/>
      <c r="Z66" s="6">
        <f t="shared" si="52"/>
        <v>-1.1902309711286088</v>
      </c>
    </row>
    <row r="67" spans="1:26" s="24" customFormat="1" hidden="1" outlineLevel="2" x14ac:dyDescent="0.25">
      <c r="A67" s="27"/>
      <c r="B67" s="11" t="str">
        <f>CONCATENATE("          ", "6247", " - ", "STORE SUPPLIES")</f>
        <v xml:space="preserve">          6247 - STORE SUPPLIES</v>
      </c>
      <c r="C67" s="11"/>
      <c r="D67" s="7">
        <v>2479.81</v>
      </c>
      <c r="E67" s="2"/>
      <c r="F67" s="6">
        <f t="shared" si="45"/>
        <v>0.2635771218786836</v>
      </c>
      <c r="G67" s="2"/>
      <c r="H67" s="7">
        <v>300</v>
      </c>
      <c r="I67" s="2"/>
      <c r="J67" s="6">
        <f t="shared" si="46"/>
        <v>1.3129102844638949E-2</v>
      </c>
      <c r="K67" s="2"/>
      <c r="L67" s="7">
        <f t="shared" si="47"/>
        <v>2179.81</v>
      </c>
      <c r="M67" s="2"/>
      <c r="N67" s="6">
        <f t="shared" si="48"/>
        <v>7.2660333333333336</v>
      </c>
      <c r="O67" s="11"/>
      <c r="P67" s="7">
        <v>7895.32</v>
      </c>
      <c r="Q67" s="2"/>
      <c r="R67" s="6">
        <f t="shared" si="49"/>
        <v>9.3523319529874527E-2</v>
      </c>
      <c r="S67" s="2"/>
      <c r="T67" s="7">
        <v>605</v>
      </c>
      <c r="U67" s="2"/>
      <c r="V67" s="6">
        <f t="shared" si="50"/>
        <v>6.1640346408558333E-3</v>
      </c>
      <c r="W67" s="2"/>
      <c r="X67" s="7">
        <f t="shared" si="51"/>
        <v>7290.32</v>
      </c>
      <c r="Y67" s="2"/>
      <c r="Z67" s="6">
        <f t="shared" si="52"/>
        <v>12.050115702479339</v>
      </c>
    </row>
    <row r="68" spans="1:26" s="28" customFormat="1" outlineLevel="1" collapsed="1" x14ac:dyDescent="0.25">
      <c r="A68" s="29"/>
      <c r="B68" s="14" t="str">
        <f>CONCATENATE("     ","Telephone/Data Lines                              ")</f>
        <v xml:space="preserve">     Telephone/Data Lines                              </v>
      </c>
      <c r="C68" s="14"/>
      <c r="D68" s="1">
        <f>SUM(OSRRefD22_10x_0)</f>
        <v>46.2</v>
      </c>
      <c r="E68" s="1"/>
      <c r="F68" s="5">
        <f t="shared" ref="F68:F69" si="53">IF(D$12=0,0,D68/D$12)</f>
        <v>4.9105629184474555E-3</v>
      </c>
      <c r="G68" s="1"/>
      <c r="H68" s="1">
        <f>SUM(OSRRefH22_10x_0)</f>
        <v>175</v>
      </c>
      <c r="I68" s="1"/>
      <c r="J68" s="5">
        <f t="shared" ref="J68:J69" si="54">IF(H$12=0,0,H68/H$12)</f>
        <v>7.658643326039387E-3</v>
      </c>
      <c r="K68" s="1"/>
      <c r="L68" s="1">
        <f t="shared" ref="L68:L69" si="55">+D68-H68</f>
        <v>-128.80000000000001</v>
      </c>
      <c r="M68" s="1"/>
      <c r="N68" s="5">
        <f t="shared" ref="N68:N69" si="56">IF(H68=0,0,L68/H68)</f>
        <v>-0.7360000000000001</v>
      </c>
      <c r="O68" s="14"/>
      <c r="P68" s="1">
        <f>SUM(OSRRefP22_10x_0)</f>
        <v>532.9</v>
      </c>
      <c r="Q68" s="1"/>
      <c r="R68" s="5">
        <f t="shared" ref="R68:R69" si="57">IF(P$12=0,0,P68/P$12)</f>
        <v>6.3124201397118974E-3</v>
      </c>
      <c r="S68" s="1"/>
      <c r="T68" s="1">
        <f>SUM(OSRRefT22_10x_0)</f>
        <v>700</v>
      </c>
      <c r="U68" s="1"/>
      <c r="V68" s="5">
        <f t="shared" ref="V68:V69" si="58">IF(T$12=0,0,T68/T$12)</f>
        <v>7.1319409067753439E-3</v>
      </c>
      <c r="W68" s="1"/>
      <c r="X68" s="1">
        <f t="shared" ref="X68:X69" si="59">+P68-T68</f>
        <v>-167.10000000000002</v>
      </c>
      <c r="Y68" s="1"/>
      <c r="Z68" s="5">
        <f t="shared" ref="Z68:Z69" si="60">IF(T68=0,0,X68/T68)</f>
        <v>-0.23871428571428574</v>
      </c>
    </row>
    <row r="69" spans="1:26" s="24" customFormat="1" hidden="1" outlineLevel="2" x14ac:dyDescent="0.25">
      <c r="A69" s="27"/>
      <c r="B69" s="11" t="str">
        <f>CONCATENATE("          ", "6309", " - ", "TELEPHONE")</f>
        <v xml:space="preserve">          6309 - TELEPHONE</v>
      </c>
      <c r="C69" s="11"/>
      <c r="D69" s="7">
        <v>46.2</v>
      </c>
      <c r="E69" s="2"/>
      <c r="F69" s="6">
        <f t="shared" si="53"/>
        <v>4.9105629184474555E-3</v>
      </c>
      <c r="G69" s="2"/>
      <c r="H69" s="7">
        <v>175</v>
      </c>
      <c r="I69" s="2"/>
      <c r="J69" s="6">
        <f t="shared" si="54"/>
        <v>7.658643326039387E-3</v>
      </c>
      <c r="K69" s="2"/>
      <c r="L69" s="7">
        <f t="shared" si="55"/>
        <v>-128.80000000000001</v>
      </c>
      <c r="M69" s="2"/>
      <c r="N69" s="6">
        <f t="shared" si="56"/>
        <v>-0.7360000000000001</v>
      </c>
      <c r="O69" s="11"/>
      <c r="P69" s="7">
        <v>532.9</v>
      </c>
      <c r="Q69" s="2"/>
      <c r="R69" s="6">
        <f t="shared" si="57"/>
        <v>6.3124201397118974E-3</v>
      </c>
      <c r="S69" s="2"/>
      <c r="T69" s="7">
        <v>700</v>
      </c>
      <c r="U69" s="2"/>
      <c r="V69" s="6">
        <f t="shared" si="58"/>
        <v>7.1319409067753439E-3</v>
      </c>
      <c r="W69" s="2"/>
      <c r="X69" s="7">
        <f t="shared" si="59"/>
        <v>-167.10000000000002</v>
      </c>
      <c r="Y69" s="2"/>
      <c r="Z69" s="6">
        <f t="shared" si="60"/>
        <v>-0.23871428571428574</v>
      </c>
    </row>
    <row r="70" spans="1:26" s="60" customFormat="1" x14ac:dyDescent="0.25">
      <c r="A70" s="36"/>
      <c r="B70" s="36"/>
      <c r="C70" s="36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collapsed="1" x14ac:dyDescent="0.25">
      <c r="A71" s="10"/>
      <c r="B71" s="25" t="s">
        <v>293</v>
      </c>
      <c r="C71" s="10"/>
      <c r="D71" s="4">
        <f>SUM(OSRRefD25x_0)</f>
        <v>0</v>
      </c>
      <c r="E71" s="4"/>
      <c r="F71" s="12">
        <f t="shared" ref="F71:F72" si="61">IF(D$12=0,0,D71/D$12)</f>
        <v>0</v>
      </c>
      <c r="G71" s="4"/>
      <c r="H71" s="4">
        <f>SUM(OSRRefH25x_0)</f>
        <v>6782</v>
      </c>
      <c r="I71" s="4"/>
      <c r="J71" s="12">
        <f t="shared" ref="J71:J72" si="62">IF(H$12=0,0,H71/H$12)</f>
        <v>0.29680525164113786</v>
      </c>
      <c r="K71" s="4"/>
      <c r="L71" s="4">
        <f t="shared" ref="L71:L72" si="63">+D71-H71</f>
        <v>-6782</v>
      </c>
      <c r="M71" s="4"/>
      <c r="N71" s="12">
        <f t="shared" ref="N71:N72" si="64">IF(H71=0,0,L71/H71)</f>
        <v>-1</v>
      </c>
      <c r="O71" s="10"/>
      <c r="P71" s="4">
        <f>SUM(OSRRefP25x_0)</f>
        <v>14899</v>
      </c>
      <c r="Q71" s="4"/>
      <c r="R71" s="12">
        <f t="shared" ref="R71:R72" si="65">IF(P$12=0,0,P71/P$12)</f>
        <v>0.1764847957619958</v>
      </c>
      <c r="S71" s="4"/>
      <c r="T71" s="4">
        <f>SUM(OSRRefT25x_0)</f>
        <v>27128</v>
      </c>
      <c r="U71" s="4"/>
      <c r="V71" s="12">
        <f t="shared" ref="V71:V72" si="66">IF(T$12=0,0,T71/T$12)</f>
        <v>0.27639327559857363</v>
      </c>
      <c r="W71" s="4"/>
      <c r="X71" s="4">
        <f t="shared" ref="X71:X72" si="67">+P71-T71</f>
        <v>-12229</v>
      </c>
      <c r="Y71" s="4"/>
      <c r="Z71" s="12">
        <f t="shared" ref="Z71:Z72" si="68">IF(T71=0,0,X71/T71)</f>
        <v>-0.4507888528457682</v>
      </c>
    </row>
    <row r="72" spans="1:26" s="24" customFormat="1" hidden="1" outlineLevel="1" x14ac:dyDescent="0.25">
      <c r="A72" s="44"/>
      <c r="B72" s="11" t="str">
        <f>CONCATENATE("          ", "9150", " - ", "MISC. INCOME")</f>
        <v xml:space="preserve">          9150 - MISC. INCOME</v>
      </c>
      <c r="C72" s="11"/>
      <c r="D72" s="2">
        <f>0</f>
        <v>0</v>
      </c>
      <c r="E72" s="2"/>
      <c r="F72" s="19">
        <f t="shared" si="61"/>
        <v>0</v>
      </c>
      <c r="G72" s="2"/>
      <c r="H72" s="2">
        <v>6782</v>
      </c>
      <c r="I72" s="2"/>
      <c r="J72" s="19">
        <f t="shared" si="62"/>
        <v>0.29680525164113786</v>
      </c>
      <c r="K72" s="2"/>
      <c r="L72" s="2">
        <f t="shared" si="63"/>
        <v>-6782</v>
      </c>
      <c r="M72" s="2"/>
      <c r="N72" s="19">
        <f t="shared" si="64"/>
        <v>-1</v>
      </c>
      <c r="O72" s="11"/>
      <c r="P72" s="2">
        <f>--14899</f>
        <v>14899</v>
      </c>
      <c r="Q72" s="2"/>
      <c r="R72" s="19">
        <f t="shared" si="65"/>
        <v>0.1764847957619958</v>
      </c>
      <c r="S72" s="2"/>
      <c r="T72" s="2">
        <v>27128</v>
      </c>
      <c r="U72" s="2"/>
      <c r="V72" s="19">
        <f t="shared" si="66"/>
        <v>0.27639327559857363</v>
      </c>
      <c r="W72" s="2"/>
      <c r="X72" s="2">
        <f t="shared" si="67"/>
        <v>-12229</v>
      </c>
      <c r="Y72" s="2"/>
      <c r="Z72" s="19">
        <f t="shared" si="68"/>
        <v>-0.4507888528457682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6" t="s">
        <v>277</v>
      </c>
      <c r="C74" s="26"/>
      <c r="D74" s="21">
        <f>+D22-D24+D71</f>
        <v>-13895.08</v>
      </c>
      <c r="E74" s="13"/>
      <c r="F74" s="20">
        <f>IF(D$12=0,0,D74/D$12)</f>
        <v>-1.4768975020965553</v>
      </c>
      <c r="G74" s="13"/>
      <c r="H74" s="21">
        <f>+H22-H24+H71</f>
        <v>-40280.775299519242</v>
      </c>
      <c r="I74" s="13"/>
      <c r="J74" s="20">
        <f>IF(H$12=0,0,H74/H$12)</f>
        <v>-1.7628348052306013</v>
      </c>
      <c r="K74" s="15"/>
      <c r="L74" s="21">
        <f>+D74-H74</f>
        <v>26385.695299519241</v>
      </c>
      <c r="M74" s="15"/>
      <c r="N74" s="20">
        <f>IF(H74=0,0,L74/H74)</f>
        <v>-0.65504437546995675</v>
      </c>
      <c r="O74" s="25"/>
      <c r="P74" s="21">
        <f>+P22-P24+P71</f>
        <v>-14044.599999999991</v>
      </c>
      <c r="Q74" s="13"/>
      <c r="R74" s="20">
        <f>IF(P$12=0,0,P74/P$12)</f>
        <v>-0.16636407561305622</v>
      </c>
      <c r="S74" s="13"/>
      <c r="T74" s="21">
        <f>+T22-T24+T71</f>
        <v>-14973.691120961623</v>
      </c>
      <c r="U74" s="13"/>
      <c r="V74" s="20">
        <f>IF(T$12=0,0,T74/T$12)</f>
        <v>-0.15255925747286422</v>
      </c>
      <c r="W74" s="15"/>
      <c r="X74" s="21">
        <f>+P74-T74</f>
        <v>929.09112096163153</v>
      </c>
      <c r="Y74" s="15"/>
      <c r="Z74" s="20">
        <f>IF(T74=0,0,X74/T74)</f>
        <v>-6.2048236033198242E-2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128</v>
      </c>
      <c r="C76" s="10"/>
      <c r="D76" s="4">
        <v>473.63</v>
      </c>
      <c r="E76" s="4"/>
      <c r="F76" s="12">
        <f>IF(D$12=0,0,D76/D$12)</f>
        <v>5.0341773053339131E-2</v>
      </c>
      <c r="G76" s="4"/>
      <c r="H76" s="4">
        <v>3110</v>
      </c>
      <c r="I76" s="4"/>
      <c r="J76" s="12">
        <f>IF(H$12=0,0,H76/H$12)</f>
        <v>0.1361050328227571</v>
      </c>
      <c r="K76" s="4"/>
      <c r="L76" s="4">
        <f>+D76-H76</f>
        <v>-2636.37</v>
      </c>
      <c r="M76" s="4"/>
      <c r="N76" s="12">
        <f>IF(H76=0,0,L76/H76)</f>
        <v>-0.84770739549839225</v>
      </c>
      <c r="O76" s="10"/>
      <c r="P76" s="4">
        <v>9758.36</v>
      </c>
      <c r="Q76" s="4"/>
      <c r="R76" s="12">
        <f>IF(P$12=0,0,P76/P$12)</f>
        <v>0.11559179619920998</v>
      </c>
      <c r="S76" s="4"/>
      <c r="T76" s="4">
        <v>11287</v>
      </c>
      <c r="U76" s="4"/>
      <c r="V76" s="12">
        <f>IF(T$12=0,0,T76/T$12)</f>
        <v>0.11499745287824759</v>
      </c>
      <c r="W76" s="4"/>
      <c r="X76" s="4">
        <f>+P76-T76</f>
        <v>-1528.6399999999994</v>
      </c>
      <c r="Y76" s="4"/>
      <c r="Z76" s="12">
        <f>IF(T76=0,0,X76/T76)</f>
        <v>-0.13543368477008944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6" t="s">
        <v>126</v>
      </c>
      <c r="C78" s="26"/>
      <c r="D78" s="31">
        <f>+D74-D76</f>
        <v>-14368.71</v>
      </c>
      <c r="E78" s="13"/>
      <c r="F78" s="33">
        <f>IF(D$12=0,0,D78/D$12)</f>
        <v>-1.5272392751498944</v>
      </c>
      <c r="G78" s="13"/>
      <c r="H78" s="31">
        <f>+H74-H76</f>
        <v>-43390.775299519242</v>
      </c>
      <c r="I78" s="13"/>
      <c r="J78" s="33">
        <f>IF(H$12=0,0,H78/H$12)</f>
        <v>-1.8989398380533584</v>
      </c>
      <c r="K78" s="15"/>
      <c r="L78" s="31">
        <f>D78-H78</f>
        <v>29022.065299519243</v>
      </c>
      <c r="M78" s="15"/>
      <c r="N78" s="33">
        <f>IF(H78=0,0,L78/H78)</f>
        <v>-0.66885334726528378</v>
      </c>
      <c r="O78" s="25"/>
      <c r="P78" s="31">
        <f>+P74-P76</f>
        <v>-23802.959999999992</v>
      </c>
      <c r="Q78" s="13"/>
      <c r="R78" s="33">
        <f>IF(P$12=0,0,P78/P$12)</f>
        <v>-0.28195587181226622</v>
      </c>
      <c r="S78" s="13"/>
      <c r="T78" s="31">
        <f>+T74-T76</f>
        <v>-26260.691120961623</v>
      </c>
      <c r="U78" s="13"/>
      <c r="V78" s="33">
        <f>IF(T$12=0,0,T78/T$12)</f>
        <v>-0.26755671035111178</v>
      </c>
      <c r="W78" s="15"/>
      <c r="X78" s="31">
        <f>P78-T78</f>
        <v>2457.7311209616309</v>
      </c>
      <c r="Y78" s="15"/>
      <c r="Z78" s="33">
        <f>IF(T78=0,0,X78/T78)</f>
        <v>-9.3589734925134477E-2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6" t="s">
        <v>294</v>
      </c>
      <c r="C81" s="26"/>
      <c r="D81" s="35">
        <f>SUM(D78:D80)</f>
        <v>-14368.71</v>
      </c>
      <c r="E81" s="13"/>
      <c r="F81" s="32">
        <f>IF(D$12=0,0,D81/D$12)</f>
        <v>-1.5272392751498944</v>
      </c>
      <c r="G81" s="13"/>
      <c r="H81" s="35">
        <f>SUM(H78:H80)</f>
        <v>-43390.775299519242</v>
      </c>
      <c r="I81" s="13"/>
      <c r="J81" s="32">
        <f>IF(H$12=0,0,H81/H$12)</f>
        <v>-1.8989398380533584</v>
      </c>
      <c r="K81" s="15"/>
      <c r="L81" s="35">
        <f>+D81-H81</f>
        <v>29022.065299519243</v>
      </c>
      <c r="M81" s="15"/>
      <c r="N81" s="32">
        <f>IF(H81=0,0,L81/H81)</f>
        <v>-0.66885334726528378</v>
      </c>
      <c r="O81" s="25"/>
      <c r="P81" s="35">
        <f>SUM(P78:P80)</f>
        <v>-23802.959999999992</v>
      </c>
      <c r="Q81" s="13"/>
      <c r="R81" s="32">
        <f>IF(P$12=0,0,P81/P$12)</f>
        <v>-0.28195587181226622</v>
      </c>
      <c r="S81" s="13"/>
      <c r="T81" s="35">
        <f>SUM(T78:T80)</f>
        <v>-26260.691120961623</v>
      </c>
      <c r="U81" s="13"/>
      <c r="V81" s="32">
        <f>IF(T$12=0,0,T81/T$12)</f>
        <v>-0.26755671035111178</v>
      </c>
      <c r="W81" s="15"/>
      <c r="X81" s="35">
        <f>+P81-T81</f>
        <v>2457.7311209616309</v>
      </c>
      <c r="Y81" s="15"/>
      <c r="Z81" s="32">
        <f>IF(T81=0,0,X81/T81)</f>
        <v>-9.3589734925134477E-2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6" x14ac:dyDescent="0.25">
      <c r="A83" s="9"/>
      <c r="B83" s="59">
        <v>44517.962849965275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62" t="s">
        <v>56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7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","316", " - ", "Campus Copy Center")</f>
        <v>Department 316 - Campus Copy Center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9408.2899999999991</v>
      </c>
      <c r="E12" s="4"/>
      <c r="F12" s="12"/>
      <c r="G12" s="4"/>
      <c r="H12" s="4">
        <f>SUM(OSRRefH13x_0)</f>
        <v>22850</v>
      </c>
      <c r="I12" s="4"/>
      <c r="J12" s="12"/>
      <c r="K12" s="4"/>
      <c r="L12" s="4">
        <f t="shared" ref="L12:L17" si="0">+D12-H12</f>
        <v>-13441.710000000001</v>
      </c>
      <c r="M12" s="4"/>
      <c r="N12" s="12">
        <f t="shared" ref="N12:N17" si="1">IF(H12=0,0,L12/H12)</f>
        <v>-0.58825864332603939</v>
      </c>
      <c r="O12" s="10"/>
      <c r="P12" s="4">
        <f>SUM(OSRRefP13x_0)</f>
        <v>84420.87000000001</v>
      </c>
      <c r="Q12" s="4"/>
      <c r="R12" s="12"/>
      <c r="S12" s="4"/>
      <c r="T12" s="4">
        <f>SUM(OSRRefT13x_0)</f>
        <v>98150</v>
      </c>
      <c r="U12" s="4"/>
      <c r="V12" s="12"/>
      <c r="W12" s="4"/>
      <c r="X12" s="4">
        <f t="shared" ref="X12:X17" si="2">+P12-T12</f>
        <v>-13729.12999999999</v>
      </c>
      <c r="Y12" s="4"/>
      <c r="Z12" s="12">
        <f t="shared" ref="Z12:Z17" si="3">IF(T12=0,0,X12/T12)</f>
        <v>-0.139879062659195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--4122.58</f>
        <v>4122.58</v>
      </c>
      <c r="E13" s="2"/>
      <c r="F13" s="19"/>
      <c r="G13" s="2"/>
      <c r="H13" s="2">
        <v>5350</v>
      </c>
      <c r="I13" s="2"/>
      <c r="J13" s="19"/>
      <c r="K13" s="2"/>
      <c r="L13" s="2">
        <f t="shared" si="0"/>
        <v>-1227.42</v>
      </c>
      <c r="M13" s="2"/>
      <c r="N13" s="19">
        <f t="shared" si="1"/>
        <v>-0.22942429906542058</v>
      </c>
      <c r="O13" s="11"/>
      <c r="P13" s="2">
        <f>--70564.24</f>
        <v>70564.240000000005</v>
      </c>
      <c r="Q13" s="2"/>
      <c r="R13" s="19"/>
      <c r="S13" s="2"/>
      <c r="T13" s="2">
        <v>56150</v>
      </c>
      <c r="U13" s="2"/>
      <c r="V13" s="19"/>
      <c r="W13" s="2"/>
      <c r="X13" s="2">
        <f t="shared" si="2"/>
        <v>14414.240000000005</v>
      </c>
      <c r="Y13" s="2"/>
      <c r="Z13" s="19">
        <f t="shared" si="3"/>
        <v>0.25670952804986652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--13252.81</f>
        <v>13252.81</v>
      </c>
      <c r="E14" s="2"/>
      <c r="F14" s="19"/>
      <c r="G14" s="2"/>
      <c r="H14" s="2">
        <v>17500</v>
      </c>
      <c r="I14" s="2"/>
      <c r="J14" s="19"/>
      <c r="K14" s="2"/>
      <c r="L14" s="2">
        <f t="shared" si="0"/>
        <v>-4247.1900000000005</v>
      </c>
      <c r="M14" s="2"/>
      <c r="N14" s="19">
        <f t="shared" si="1"/>
        <v>-0.24269657142857146</v>
      </c>
      <c r="O14" s="11"/>
      <c r="P14" s="2">
        <f>--14259.63</f>
        <v>14259.63</v>
      </c>
      <c r="Q14" s="2"/>
      <c r="R14" s="19"/>
      <c r="S14" s="2"/>
      <c r="T14" s="2">
        <v>42000</v>
      </c>
      <c r="U14" s="2"/>
      <c r="V14" s="19"/>
      <c r="W14" s="2"/>
      <c r="X14" s="2">
        <f t="shared" si="2"/>
        <v>-27740.370000000003</v>
      </c>
      <c r="Y14" s="2"/>
      <c r="Z14" s="19">
        <f t="shared" si="3"/>
        <v>-0.6604850000000001</v>
      </c>
    </row>
    <row r="15" spans="1:26" s="24" customFormat="1" hidden="1" outlineLevel="1" x14ac:dyDescent="0.25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>-460.55</f>
        <v>-460.55</v>
      </c>
      <c r="E15" s="2"/>
      <c r="F15" s="19"/>
      <c r="G15" s="2"/>
      <c r="H15" s="2"/>
      <c r="I15" s="2"/>
      <c r="J15" s="19"/>
      <c r="K15" s="2"/>
      <c r="L15" s="2">
        <f t="shared" si="0"/>
        <v>-460.55</v>
      </c>
      <c r="M15" s="2"/>
      <c r="N15" s="19">
        <f t="shared" si="1"/>
        <v>0</v>
      </c>
      <c r="O15" s="11"/>
      <c r="P15" s="2">
        <f t="shared" ref="P15:P16" si="4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>-7492.95</f>
        <v>-7492.95</v>
      </c>
      <c r="E16" s="2"/>
      <c r="F16" s="19"/>
      <c r="G16" s="2"/>
      <c r="H16" s="2"/>
      <c r="I16" s="2"/>
      <c r="J16" s="19"/>
      <c r="K16" s="2"/>
      <c r="L16" s="2">
        <f t="shared" si="0"/>
        <v>-7492.95</v>
      </c>
      <c r="M16" s="2"/>
      <c r="N16" s="19">
        <f t="shared" si="1"/>
        <v>0</v>
      </c>
      <c r="O16" s="11"/>
      <c r="P16" s="2">
        <f t="shared" si="4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"4200", " - ", "TAXABLE RETURNS")</f>
        <v xml:space="preserve">          4200 - TAXABLE RETURNS</v>
      </c>
      <c r="C17" s="11"/>
      <c r="D17" s="2">
        <f>-13.6</f>
        <v>-13.6</v>
      </c>
      <c r="E17" s="2"/>
      <c r="F17" s="19"/>
      <c r="G17" s="2"/>
      <c r="H17" s="2"/>
      <c r="I17" s="2"/>
      <c r="J17" s="19"/>
      <c r="K17" s="2"/>
      <c r="L17" s="2">
        <f t="shared" si="0"/>
        <v>-13.6</v>
      </c>
      <c r="M17" s="2"/>
      <c r="N17" s="19">
        <f t="shared" si="1"/>
        <v>0</v>
      </c>
      <c r="O17" s="11"/>
      <c r="P17" s="2">
        <f>-403</f>
        <v>-403</v>
      </c>
      <c r="Q17" s="2"/>
      <c r="R17" s="19"/>
      <c r="S17" s="2"/>
      <c r="T17" s="2"/>
      <c r="U17" s="2"/>
      <c r="V17" s="19"/>
      <c r="W17" s="2"/>
      <c r="X17" s="2">
        <f t="shared" si="2"/>
        <v>-403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5" t="s">
        <v>257</v>
      </c>
      <c r="C19" s="10"/>
      <c r="D19" s="4">
        <f>SUM(OSRRefD16x_0)</f>
        <v>0</v>
      </c>
      <c r="E19" s="4"/>
      <c r="F19" s="12">
        <f t="shared" ref="F19:F20" si="5">IF(D$12=0,0,D19/D$12)</f>
        <v>0</v>
      </c>
      <c r="G19" s="4"/>
      <c r="H19" s="4">
        <f>SUM(OSRRefH16x_0)</f>
        <v>0</v>
      </c>
      <c r="I19" s="4"/>
      <c r="J19" s="12">
        <f t="shared" ref="J19:J20" si="6">IF(H$12=0,0,H19/H$12)</f>
        <v>0</v>
      </c>
      <c r="K19" s="4"/>
      <c r="L19" s="4">
        <f t="shared" ref="L19:L20" si="7">+D19-H19</f>
        <v>0</v>
      </c>
      <c r="M19" s="4"/>
      <c r="N19" s="12">
        <f t="shared" ref="N19:N20" si="8">IF(H19=0,0,L19/H19)</f>
        <v>0</v>
      </c>
      <c r="O19" s="10"/>
      <c r="P19" s="4">
        <f>SUM(OSRRefP16x_0)</f>
        <v>0</v>
      </c>
      <c r="Q19" s="4"/>
      <c r="R19" s="12">
        <f t="shared" ref="R19:R20" si="9">IF(P$12=0,0,P19/P$12)</f>
        <v>0</v>
      </c>
      <c r="S19" s="4"/>
      <c r="T19" s="4">
        <f>SUM(OSRRefT16x_0)</f>
        <v>0</v>
      </c>
      <c r="U19" s="4"/>
      <c r="V19" s="12">
        <f t="shared" ref="V19:V20" si="10">IF(T$12=0,0,T19/T$12)</f>
        <v>0</v>
      </c>
      <c r="W19" s="4"/>
      <c r="X19" s="4">
        <f t="shared" ref="X19:X20" si="11">+P19-T19</f>
        <v>0</v>
      </c>
      <c r="Y19" s="4"/>
      <c r="Z19" s="12">
        <f t="shared" ref="Z19:Z20" si="12">IF(T19=0,0,X19/T19)</f>
        <v>0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5"/>
        <v>0</v>
      </c>
      <c r="G20" s="2"/>
      <c r="H20" s="2">
        <v>0</v>
      </c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/>
      <c r="Q20" s="2"/>
      <c r="R20" s="19">
        <f t="shared" si="9"/>
        <v>0</v>
      </c>
      <c r="S20" s="2"/>
      <c r="T20" s="2">
        <v>0</v>
      </c>
      <c r="U20" s="2"/>
      <c r="V20" s="19">
        <f t="shared" si="10"/>
        <v>0</v>
      </c>
      <c r="W20" s="2"/>
      <c r="X20" s="2">
        <f t="shared" si="11"/>
        <v>0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108</v>
      </c>
      <c r="C22" s="26"/>
      <c r="D22" s="21">
        <f>D12-D19</f>
        <v>9408.2899999999991</v>
      </c>
      <c r="E22" s="13"/>
      <c r="F22" s="20">
        <f>IF(D$12=0,0,D22/D$12)</f>
        <v>1</v>
      </c>
      <c r="G22" s="13"/>
      <c r="H22" s="21">
        <f>H12-H19</f>
        <v>22850</v>
      </c>
      <c r="I22" s="13"/>
      <c r="J22" s="20">
        <f>IF(H$12=0,0,H22/H$12)</f>
        <v>1</v>
      </c>
      <c r="K22" s="15"/>
      <c r="L22" s="21">
        <f>+D22-H22</f>
        <v>-13441.710000000001</v>
      </c>
      <c r="M22" s="15"/>
      <c r="N22" s="20">
        <f>IF(H22=0,0,L22/H22)</f>
        <v>-0.58825864332603939</v>
      </c>
      <c r="O22" s="25"/>
      <c r="P22" s="21">
        <f>P12-P19</f>
        <v>84420.87000000001</v>
      </c>
      <c r="Q22" s="13"/>
      <c r="R22" s="20">
        <f>IF(P$12=0,0,P22/P$12)</f>
        <v>1</v>
      </c>
      <c r="S22" s="13"/>
      <c r="T22" s="21">
        <f>T12-T19</f>
        <v>98150</v>
      </c>
      <c r="U22" s="13"/>
      <c r="V22" s="20">
        <f>IF(T$12=0,0,T22/T$12)</f>
        <v>1</v>
      </c>
      <c r="W22" s="15"/>
      <c r="X22" s="21">
        <f>+P22-T22</f>
        <v>-13729.12999999999</v>
      </c>
      <c r="Y22" s="15"/>
      <c r="Z22" s="20">
        <f>IF(T22=0,0,X22/T22)</f>
        <v>-0.139879062659195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295</v>
      </c>
      <c r="C24" s="10"/>
      <c r="D24" s="22">
        <f>SUM(OSRRefD22x_0)</f>
        <v>23303.37</v>
      </c>
      <c r="E24" s="22"/>
      <c r="F24" s="34">
        <f t="shared" ref="F24:F34" si="13">IF(D$12=0,0,D24/D$12)</f>
        <v>2.4768975020965556</v>
      </c>
      <c r="G24" s="22"/>
      <c r="H24" s="22">
        <f>SUM(OSRRefH22x_0)</f>
        <v>69912.775299519242</v>
      </c>
      <c r="I24" s="22"/>
      <c r="J24" s="34">
        <f t="shared" ref="J24:J34" si="14">IF(H$12=0,0,H24/H$12)</f>
        <v>3.0596400568717392</v>
      </c>
      <c r="K24" s="4"/>
      <c r="L24" s="22">
        <f t="shared" ref="L24:L34" si="15">+D24-H24</f>
        <v>-46609.405299519247</v>
      </c>
      <c r="M24" s="4"/>
      <c r="N24" s="34">
        <f t="shared" ref="N24:N34" si="16">IF(H24=0,0,L24/H24)</f>
        <v>-0.66667937440383318</v>
      </c>
      <c r="O24" s="10"/>
      <c r="P24" s="22">
        <f>SUM(OSRRefP22x_0)</f>
        <v>113364.47</v>
      </c>
      <c r="Q24" s="22"/>
      <c r="R24" s="34">
        <f t="shared" ref="R24:R34" si="17">IF(P$12=0,0,P24/P$12)</f>
        <v>1.3428488713750519</v>
      </c>
      <c r="S24" s="22"/>
      <c r="T24" s="22">
        <f>SUM(OSRRefT22x_0)</f>
        <v>140251.69112096162</v>
      </c>
      <c r="U24" s="22"/>
      <c r="V24" s="34">
        <f t="shared" ref="V24:V34" si="18">IF(T$12=0,0,T24/T$12)</f>
        <v>1.4289525330714379</v>
      </c>
      <c r="W24" s="4"/>
      <c r="X24" s="22">
        <f t="shared" ref="X24:X34" si="19">+P24-T24</f>
        <v>-26887.221120961622</v>
      </c>
      <c r="Y24" s="4"/>
      <c r="Z24" s="34">
        <f t="shared" ref="Z24:Z34" si="20">IF(T24=0,0,X24/T24)</f>
        <v>-0.19170692992052724</v>
      </c>
    </row>
    <row r="25" spans="1:26" s="28" customFormat="1" outlineLevel="1" collapsed="1" x14ac:dyDescent="0.25">
      <c r="A25" s="29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10120.960000000001</v>
      </c>
      <c r="E25" s="1"/>
      <c r="F25" s="5">
        <f t="shared" si="13"/>
        <v>1.0757491531404753</v>
      </c>
      <c r="G25" s="1"/>
      <c r="H25" s="1">
        <f>SUM(OSRRefH22_0x_0)</f>
        <v>5079.7551072115421</v>
      </c>
      <c r="I25" s="1"/>
      <c r="J25" s="5">
        <f t="shared" si="14"/>
        <v>0.22230875742720096</v>
      </c>
      <c r="K25" s="1"/>
      <c r="L25" s="1">
        <f t="shared" si="15"/>
        <v>5041.2048927884589</v>
      </c>
      <c r="M25" s="1"/>
      <c r="N25" s="5">
        <f t="shared" si="16"/>
        <v>0.99241100926925496</v>
      </c>
      <c r="O25" s="14"/>
      <c r="P25" s="1">
        <f>SUM(OSRRefP22_0x_0)</f>
        <v>36420.71</v>
      </c>
      <c r="Q25" s="1"/>
      <c r="R25" s="5">
        <f t="shared" si="17"/>
        <v>0.43141832108576939</v>
      </c>
      <c r="S25" s="1"/>
      <c r="T25" s="1">
        <f>SUM(OSRRefT22_0x_0)</f>
        <v>30980.671890192316</v>
      </c>
      <c r="U25" s="1"/>
      <c r="V25" s="5">
        <f t="shared" si="18"/>
        <v>0.31564617310435372</v>
      </c>
      <c r="W25" s="1"/>
      <c r="X25" s="1">
        <f t="shared" si="19"/>
        <v>5440.0381098076832</v>
      </c>
      <c r="Y25" s="1"/>
      <c r="Z25" s="5">
        <f t="shared" si="20"/>
        <v>0.17559458132765221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7">
        <v>1811.85</v>
      </c>
      <c r="E26" s="2"/>
      <c r="F26" s="6">
        <f t="shared" si="13"/>
        <v>0.19258016068807404</v>
      </c>
      <c r="G26" s="2"/>
      <c r="H26" s="7">
        <v>923.51473701923203</v>
      </c>
      <c r="I26" s="2"/>
      <c r="J26" s="6">
        <f t="shared" si="14"/>
        <v>4.0416399869550639E-2</v>
      </c>
      <c r="K26" s="2"/>
      <c r="L26" s="7">
        <f t="shared" si="15"/>
        <v>888.33526298076788</v>
      </c>
      <c r="M26" s="2"/>
      <c r="N26" s="6">
        <f t="shared" si="16"/>
        <v>0.96190697058932639</v>
      </c>
      <c r="O26" s="11"/>
      <c r="P26" s="7">
        <v>5691.59</v>
      </c>
      <c r="Q26" s="2"/>
      <c r="R26" s="6">
        <f t="shared" si="17"/>
        <v>6.7419229391973798E-2</v>
      </c>
      <c r="S26" s="2"/>
      <c r="T26" s="7">
        <v>4961.3854459615404</v>
      </c>
      <c r="U26" s="2"/>
      <c r="V26" s="6">
        <f t="shared" si="18"/>
        <v>5.0549011166189921E-2</v>
      </c>
      <c r="W26" s="2"/>
      <c r="X26" s="7">
        <f t="shared" si="19"/>
        <v>730.20455403845972</v>
      </c>
      <c r="Y26" s="2"/>
      <c r="Z26" s="6">
        <f t="shared" si="20"/>
        <v>0.1471775498984523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7">
        <v>441.7</v>
      </c>
      <c r="E27" s="2"/>
      <c r="F27" s="6">
        <f t="shared" si="13"/>
        <v>4.6947957599096118E-2</v>
      </c>
      <c r="G27" s="2"/>
      <c r="H27" s="7">
        <v>188.25075000000001</v>
      </c>
      <c r="I27" s="2"/>
      <c r="J27" s="6">
        <f t="shared" si="14"/>
        <v>8.2385448577680532E-3</v>
      </c>
      <c r="K27" s="2"/>
      <c r="L27" s="7">
        <f t="shared" si="15"/>
        <v>253.44924999999998</v>
      </c>
      <c r="M27" s="2"/>
      <c r="N27" s="6">
        <f t="shared" si="16"/>
        <v>1.3463385936045407</v>
      </c>
      <c r="O27" s="11"/>
      <c r="P27" s="7">
        <v>1270.17</v>
      </c>
      <c r="Q27" s="2"/>
      <c r="R27" s="6">
        <f t="shared" si="17"/>
        <v>1.5045687162427962E-2</v>
      </c>
      <c r="S27" s="2"/>
      <c r="T27" s="7">
        <v>1011.3369</v>
      </c>
      <c r="U27" s="2"/>
      <c r="V27" s="6">
        <f t="shared" si="18"/>
        <v>1.0303992868059093E-2</v>
      </c>
      <c r="W27" s="2"/>
      <c r="X27" s="7">
        <f t="shared" si="19"/>
        <v>258.83310000000006</v>
      </c>
      <c r="Y27" s="2"/>
      <c r="Z27" s="6">
        <f t="shared" si="20"/>
        <v>0.2559316287183826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7">
        <v>3410.23</v>
      </c>
      <c r="E28" s="2"/>
      <c r="F28" s="6">
        <f t="shared" si="13"/>
        <v>0.36247075717266369</v>
      </c>
      <c r="G28" s="2"/>
      <c r="H28" s="7">
        <v>1326</v>
      </c>
      <c r="I28" s="2"/>
      <c r="J28" s="6">
        <f t="shared" si="14"/>
        <v>5.8030634573304159E-2</v>
      </c>
      <c r="K28" s="2"/>
      <c r="L28" s="7">
        <f t="shared" si="15"/>
        <v>2084.23</v>
      </c>
      <c r="M28" s="2"/>
      <c r="N28" s="6">
        <f t="shared" si="16"/>
        <v>1.571817496229261</v>
      </c>
      <c r="O28" s="11"/>
      <c r="P28" s="7">
        <v>13674.67</v>
      </c>
      <c r="Q28" s="2"/>
      <c r="R28" s="6">
        <f t="shared" si="17"/>
        <v>0.16198210229295196</v>
      </c>
      <c r="S28" s="2"/>
      <c r="T28" s="7">
        <v>10246.5</v>
      </c>
      <c r="U28" s="2"/>
      <c r="V28" s="6">
        <f t="shared" si="18"/>
        <v>0.10439633214467652</v>
      </c>
      <c r="W28" s="2"/>
      <c r="X28" s="7">
        <f t="shared" si="19"/>
        <v>3428.17</v>
      </c>
      <c r="Y28" s="2"/>
      <c r="Z28" s="6">
        <f t="shared" si="20"/>
        <v>0.33456985312057774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7">
        <v>77.599999999999994</v>
      </c>
      <c r="E29" s="2"/>
      <c r="F29" s="6">
        <f t="shared" si="13"/>
        <v>8.2480450751411787E-3</v>
      </c>
      <c r="G29" s="2"/>
      <c r="H29" s="7">
        <v>25.3414471153846</v>
      </c>
      <c r="I29" s="2"/>
      <c r="J29" s="6">
        <f t="shared" si="14"/>
        <v>1.1090348846995448E-3</v>
      </c>
      <c r="K29" s="2"/>
      <c r="L29" s="7">
        <f t="shared" si="15"/>
        <v>52.258552884615398</v>
      </c>
      <c r="M29" s="2"/>
      <c r="N29" s="6">
        <f t="shared" si="16"/>
        <v>2.0621771379776344</v>
      </c>
      <c r="O29" s="11"/>
      <c r="P29" s="7">
        <v>223.14</v>
      </c>
      <c r="Q29" s="2"/>
      <c r="R29" s="6">
        <f t="shared" si="17"/>
        <v>2.6431852692349648E-3</v>
      </c>
      <c r="S29" s="2"/>
      <c r="T29" s="7">
        <v>136.141505769231</v>
      </c>
      <c r="U29" s="2"/>
      <c r="V29" s="6">
        <f t="shared" si="18"/>
        <v>1.3870759630079572E-3</v>
      </c>
      <c r="W29" s="2"/>
      <c r="X29" s="7">
        <f t="shared" si="19"/>
        <v>86.998494230768983</v>
      </c>
      <c r="Y29" s="2"/>
      <c r="Z29" s="6">
        <f t="shared" si="20"/>
        <v>0.63902991038043366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7">
        <v>2386.1799999999998</v>
      </c>
      <c r="E30" s="2"/>
      <c r="F30" s="6">
        <f t="shared" si="13"/>
        <v>0.25362526027577809</v>
      </c>
      <c r="G30" s="2"/>
      <c r="H30" s="7">
        <v>953.51259615384697</v>
      </c>
      <c r="I30" s="2"/>
      <c r="J30" s="6">
        <f t="shared" si="14"/>
        <v>4.1729216461875142E-2</v>
      </c>
      <c r="K30" s="2"/>
      <c r="L30" s="7">
        <f t="shared" si="15"/>
        <v>1432.6674038461529</v>
      </c>
      <c r="M30" s="2"/>
      <c r="N30" s="6">
        <f t="shared" si="16"/>
        <v>1.5025154461776984</v>
      </c>
      <c r="O30" s="11"/>
      <c r="P30" s="7">
        <v>7158.55</v>
      </c>
      <c r="Q30" s="2"/>
      <c r="R30" s="6">
        <f t="shared" si="17"/>
        <v>8.4795975213238145E-2</v>
      </c>
      <c r="S30" s="2"/>
      <c r="T30" s="7">
        <v>5250.2388076923098</v>
      </c>
      <c r="U30" s="2"/>
      <c r="V30" s="6">
        <f t="shared" si="18"/>
        <v>5.3491989889885988E-2</v>
      </c>
      <c r="W30" s="2"/>
      <c r="X30" s="7">
        <f t="shared" si="19"/>
        <v>1908.3111923076904</v>
      </c>
      <c r="Y30" s="2"/>
      <c r="Z30" s="6">
        <f t="shared" si="20"/>
        <v>0.3634713128689987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7">
        <v>834.2</v>
      </c>
      <c r="E32" s="2"/>
      <c r="F32" s="6">
        <f t="shared" si="13"/>
        <v>8.8666484557767683E-2</v>
      </c>
      <c r="G32" s="2"/>
      <c r="H32" s="7">
        <v>776.11490384615502</v>
      </c>
      <c r="I32" s="2"/>
      <c r="J32" s="6">
        <f t="shared" si="14"/>
        <v>3.3965641306177463E-2</v>
      </c>
      <c r="K32" s="2"/>
      <c r="L32" s="7">
        <f t="shared" si="15"/>
        <v>58.085096153845029</v>
      </c>
      <c r="M32" s="2"/>
      <c r="N32" s="6">
        <f t="shared" si="16"/>
        <v>7.4840846202019223E-2</v>
      </c>
      <c r="O32" s="11"/>
      <c r="P32" s="7">
        <v>3963.92</v>
      </c>
      <c r="Q32" s="2"/>
      <c r="R32" s="6">
        <f t="shared" si="17"/>
        <v>4.6954266166648127E-2</v>
      </c>
      <c r="S32" s="2"/>
      <c r="T32" s="7">
        <v>4907.4944230769197</v>
      </c>
      <c r="U32" s="2"/>
      <c r="V32" s="6">
        <f t="shared" si="18"/>
        <v>4.9999943179591645E-2</v>
      </c>
      <c r="W32" s="2"/>
      <c r="X32" s="7">
        <f t="shared" si="19"/>
        <v>-943.57442307691963</v>
      </c>
      <c r="Y32" s="2"/>
      <c r="Z32" s="6">
        <f t="shared" si="20"/>
        <v>-0.1922721335433151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7">
        <v>591.51</v>
      </c>
      <c r="E33" s="2"/>
      <c r="F33" s="6">
        <f t="shared" si="13"/>
        <v>6.2871148742226282E-2</v>
      </c>
      <c r="G33" s="2"/>
      <c r="H33" s="7">
        <v>362.020673076923</v>
      </c>
      <c r="I33" s="2"/>
      <c r="J33" s="6">
        <f t="shared" si="14"/>
        <v>1.5843355495707791E-2</v>
      </c>
      <c r="K33" s="2"/>
      <c r="L33" s="7">
        <f t="shared" si="15"/>
        <v>229.48932692307699</v>
      </c>
      <c r="M33" s="2"/>
      <c r="N33" s="6">
        <f t="shared" si="16"/>
        <v>0.63391221548918164</v>
      </c>
      <c r="O33" s="11"/>
      <c r="P33" s="7">
        <v>2634.93</v>
      </c>
      <c r="Q33" s="2"/>
      <c r="R33" s="6">
        <f t="shared" si="17"/>
        <v>3.1211831861007823E-2</v>
      </c>
      <c r="S33" s="2"/>
      <c r="T33" s="7">
        <v>2367.5748076923101</v>
      </c>
      <c r="U33" s="2"/>
      <c r="V33" s="6">
        <f t="shared" si="18"/>
        <v>2.4122005172616506E-2</v>
      </c>
      <c r="W33" s="2"/>
      <c r="X33" s="7">
        <f t="shared" si="19"/>
        <v>267.35519230768978</v>
      </c>
      <c r="Y33" s="2"/>
      <c r="Z33" s="6">
        <f t="shared" si="20"/>
        <v>0.11292365142552034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7">
        <v>567.69000000000005</v>
      </c>
      <c r="E34" s="2"/>
      <c r="F34" s="6">
        <f t="shared" si="13"/>
        <v>6.0339339029728052E-2</v>
      </c>
      <c r="G34" s="2"/>
      <c r="H34" s="7">
        <v>525</v>
      </c>
      <c r="I34" s="2"/>
      <c r="J34" s="6">
        <f t="shared" si="14"/>
        <v>2.2975929978118162E-2</v>
      </c>
      <c r="K34" s="2"/>
      <c r="L34" s="7">
        <f t="shared" si="15"/>
        <v>42.690000000000055</v>
      </c>
      <c r="M34" s="2"/>
      <c r="N34" s="6">
        <f t="shared" si="16"/>
        <v>8.1314285714285825E-2</v>
      </c>
      <c r="O34" s="11"/>
      <c r="P34" s="7">
        <v>1803.74</v>
      </c>
      <c r="Q34" s="2"/>
      <c r="R34" s="6">
        <f t="shared" si="17"/>
        <v>2.1366043728286616E-2</v>
      </c>
      <c r="S34" s="2"/>
      <c r="T34" s="7">
        <v>2100</v>
      </c>
      <c r="U34" s="2"/>
      <c r="V34" s="6">
        <f t="shared" si="18"/>
        <v>2.1395822720326033E-2</v>
      </c>
      <c r="W34" s="2"/>
      <c r="X34" s="7">
        <f t="shared" si="19"/>
        <v>-296.26</v>
      </c>
      <c r="Y34" s="2"/>
      <c r="Z34" s="6">
        <f t="shared" si="20"/>
        <v>-0.14107619047619047</v>
      </c>
    </row>
    <row r="35" spans="1:26" s="28" customFormat="1" outlineLevel="1" collapsed="1" x14ac:dyDescent="0.25">
      <c r="A35" s="29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22697.439999999999</v>
      </c>
      <c r="E35" s="1"/>
      <c r="F35" s="5">
        <f t="shared" ref="F35:F45" si="21">IF(D$12=0,0,D35/D$12)</f>
        <v>2.4124936625040259</v>
      </c>
      <c r="G35" s="1"/>
      <c r="H35" s="1">
        <f>SUM(OSRRefH22_1x_0)</f>
        <v>10988.020192307709</v>
      </c>
      <c r="I35" s="1"/>
      <c r="J35" s="5">
        <f t="shared" ref="J35:J45" si="22">IF(H$12=0,0,H35/H$12)</f>
        <v>0.48087615721259119</v>
      </c>
      <c r="K35" s="1"/>
      <c r="L35" s="1">
        <f t="shared" ref="L35:L45" si="23">+D35-H35</f>
        <v>11709.419807692289</v>
      </c>
      <c r="M35" s="1"/>
      <c r="N35" s="5">
        <f t="shared" ref="N35:N45" si="24">IF(H35=0,0,L35/H35)</f>
        <v>1.0656532844642572</v>
      </c>
      <c r="O35" s="14"/>
      <c r="P35" s="1">
        <f>SUM(OSRRefP22_1x_0)</f>
        <v>77258.540000000008</v>
      </c>
      <c r="Q35" s="1"/>
      <c r="R35" s="5">
        <f t="shared" ref="R35:R45" si="25">IF(P$12=0,0,P35/P$12)</f>
        <v>0.91515924912879953</v>
      </c>
      <c r="S35" s="1"/>
      <c r="T35" s="1">
        <f>SUM(OSRRefT22_1x_0)</f>
        <v>57781.0192307693</v>
      </c>
      <c r="U35" s="1"/>
      <c r="V35" s="5">
        <f t="shared" ref="V35:V45" si="26">IF(T$12=0,0,T35/T$12)</f>
        <v>0.58870116383870907</v>
      </c>
      <c r="W35" s="1"/>
      <c r="X35" s="1">
        <f t="shared" ref="X35:X45" si="27">+P35-T35</f>
        <v>19477.520769230709</v>
      </c>
      <c r="Y35" s="1"/>
      <c r="Z35" s="5">
        <f t="shared" ref="Z35:Z45" si="28">IF(T35=0,0,X35/T35)</f>
        <v>0.33709202482981854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7">
        <v>19378.57</v>
      </c>
      <c r="E37" s="2"/>
      <c r="F37" s="6">
        <f t="shared" si="21"/>
        <v>2.0597334903579716</v>
      </c>
      <c r="G37" s="2"/>
      <c r="H37" s="7">
        <v>9978.6201923077097</v>
      </c>
      <c r="I37" s="2"/>
      <c r="J37" s="6">
        <f t="shared" si="22"/>
        <v>0.43670110250799604</v>
      </c>
      <c r="K37" s="2"/>
      <c r="L37" s="7">
        <f t="shared" si="23"/>
        <v>9399.9498076922901</v>
      </c>
      <c r="M37" s="2"/>
      <c r="N37" s="6">
        <f t="shared" si="24"/>
        <v>0.94200897784830984</v>
      </c>
      <c r="O37" s="11"/>
      <c r="P37" s="7">
        <v>68197.710000000006</v>
      </c>
      <c r="Q37" s="2"/>
      <c r="R37" s="6">
        <f t="shared" si="25"/>
        <v>0.80782998327309352</v>
      </c>
      <c r="S37" s="2"/>
      <c r="T37" s="7">
        <v>53887.619230769298</v>
      </c>
      <c r="U37" s="2"/>
      <c r="V37" s="6">
        <f t="shared" si="26"/>
        <v>0.54903330851522458</v>
      </c>
      <c r="W37" s="2"/>
      <c r="X37" s="7">
        <f t="shared" si="27"/>
        <v>14310.090769230708</v>
      </c>
      <c r="Y37" s="2"/>
      <c r="Z37" s="6">
        <f t="shared" si="28"/>
        <v>0.26555433276702989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7">
        <v>3318.87</v>
      </c>
      <c r="E42" s="2"/>
      <c r="F42" s="6">
        <f t="shared" si="21"/>
        <v>0.35276017214605421</v>
      </c>
      <c r="G42" s="2"/>
      <c r="H42" s="7">
        <v>1009.4</v>
      </c>
      <c r="I42" s="2"/>
      <c r="J42" s="6">
        <f t="shared" si="22"/>
        <v>4.4175054704595186E-2</v>
      </c>
      <c r="K42" s="2"/>
      <c r="L42" s="7">
        <f t="shared" si="23"/>
        <v>2309.4699999999998</v>
      </c>
      <c r="M42" s="2"/>
      <c r="N42" s="6">
        <f t="shared" si="24"/>
        <v>2.2879631464236176</v>
      </c>
      <c r="O42" s="11"/>
      <c r="P42" s="7">
        <v>9060.83</v>
      </c>
      <c r="Q42" s="2"/>
      <c r="R42" s="6">
        <f t="shared" si="25"/>
        <v>0.10732926585570604</v>
      </c>
      <c r="S42" s="2"/>
      <c r="T42" s="7">
        <v>3893.4</v>
      </c>
      <c r="U42" s="2"/>
      <c r="V42" s="6">
        <f t="shared" si="26"/>
        <v>3.9667855323484463E-2</v>
      </c>
      <c r="W42" s="2"/>
      <c r="X42" s="7">
        <f t="shared" si="27"/>
        <v>5167.43</v>
      </c>
      <c r="Y42" s="2"/>
      <c r="Z42" s="6">
        <f t="shared" si="28"/>
        <v>1.3272281296553141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/>
      <c r="Q45" s="2"/>
      <c r="R45" s="6">
        <f t="shared" si="25"/>
        <v>0</v>
      </c>
      <c r="S45" s="2"/>
      <c r="T45" s="7">
        <v>0</v>
      </c>
      <c r="U45" s="2"/>
      <c r="V45" s="6">
        <f t="shared" si="26"/>
        <v>0</v>
      </c>
      <c r="W45" s="2"/>
      <c r="X45" s="7">
        <f t="shared" si="27"/>
        <v>0</v>
      </c>
      <c r="Y45" s="2"/>
      <c r="Z45" s="6">
        <f t="shared" si="28"/>
        <v>0</v>
      </c>
    </row>
    <row r="46" spans="1:26" s="28" customFormat="1" outlineLevel="1" collapsed="1" x14ac:dyDescent="0.25">
      <c r="A46" s="29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97.75</v>
      </c>
      <c r="E46" s="1"/>
      <c r="F46" s="5">
        <f t="shared" ref="F46:F54" si="29">IF(D$12=0,0,D46/D$12)</f>
        <v>1.0389773274420751E-2</v>
      </c>
      <c r="G46" s="1"/>
      <c r="H46" s="1">
        <f>SUM(OSRRefH22_2x_0)</f>
        <v>50</v>
      </c>
      <c r="I46" s="1"/>
      <c r="J46" s="5">
        <f t="shared" ref="J46:J54" si="30">IF(H$12=0,0,H46/H$12)</f>
        <v>2.1881838074398249E-3</v>
      </c>
      <c r="K46" s="1"/>
      <c r="L46" s="1">
        <f t="shared" ref="L46:L54" si="31">+D46-H46</f>
        <v>47.75</v>
      </c>
      <c r="M46" s="1"/>
      <c r="N46" s="5">
        <f t="shared" ref="N46:N54" si="32">IF(H46=0,0,L46/H46)</f>
        <v>0.95499999999999996</v>
      </c>
      <c r="O46" s="14"/>
      <c r="P46" s="1">
        <f>SUM(OSRRefP22_2x_0)</f>
        <v>97.75</v>
      </c>
      <c r="Q46" s="1"/>
      <c r="R46" s="5">
        <f t="shared" ref="R46:R54" si="33">IF(P$12=0,0,P46/P$12)</f>
        <v>1.1578890385754138E-3</v>
      </c>
      <c r="S46" s="1"/>
      <c r="T46" s="1">
        <f>SUM(OSRRefT22_2x_0)</f>
        <v>200</v>
      </c>
      <c r="U46" s="1"/>
      <c r="V46" s="5">
        <f t="shared" ref="V46:V54" si="34">IF(T$12=0,0,T46/T$12)</f>
        <v>2.0376974019358125E-3</v>
      </c>
      <c r="W46" s="1"/>
      <c r="X46" s="1">
        <f t="shared" ref="X46:X54" si="35">+P46-T46</f>
        <v>-102.25</v>
      </c>
      <c r="Y46" s="1"/>
      <c r="Z46" s="5">
        <f t="shared" ref="Z46:Z54" si="36">IF(T46=0,0,X46/T46)</f>
        <v>-0.51124999999999998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7">
        <v>97.75</v>
      </c>
      <c r="E47" s="2"/>
      <c r="F47" s="6">
        <f t="shared" si="29"/>
        <v>1.0389773274420751E-2</v>
      </c>
      <c r="G47" s="2"/>
      <c r="H47" s="7">
        <v>50</v>
      </c>
      <c r="I47" s="2"/>
      <c r="J47" s="6">
        <f t="shared" si="30"/>
        <v>2.1881838074398249E-3</v>
      </c>
      <c r="K47" s="2"/>
      <c r="L47" s="7">
        <f t="shared" si="31"/>
        <v>47.75</v>
      </c>
      <c r="M47" s="2"/>
      <c r="N47" s="6">
        <f t="shared" si="32"/>
        <v>0.95499999999999996</v>
      </c>
      <c r="O47" s="11"/>
      <c r="P47" s="7">
        <v>97.75</v>
      </c>
      <c r="Q47" s="2"/>
      <c r="R47" s="6">
        <f t="shared" si="33"/>
        <v>1.1578890385754138E-3</v>
      </c>
      <c r="S47" s="2"/>
      <c r="T47" s="7">
        <v>200</v>
      </c>
      <c r="U47" s="2"/>
      <c r="V47" s="6">
        <f t="shared" si="34"/>
        <v>2.0376974019358125E-3</v>
      </c>
      <c r="W47" s="2"/>
      <c r="X47" s="7">
        <f t="shared" si="35"/>
        <v>-102.25</v>
      </c>
      <c r="Y47" s="2"/>
      <c r="Z47" s="6">
        <f t="shared" si="36"/>
        <v>-0.51124999999999998</v>
      </c>
    </row>
    <row r="48" spans="1:26" s="28" customFormat="1" outlineLevel="1" collapsed="1" x14ac:dyDescent="0.25">
      <c r="A48" s="29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SUM(OSRRefD22_3x_0)</f>
        <v>169.88</v>
      </c>
      <c r="E48" s="1"/>
      <c r="F48" s="5">
        <f t="shared" si="29"/>
        <v>1.8056416203157004E-2</v>
      </c>
      <c r="G48" s="1"/>
      <c r="H48" s="1">
        <f>SUM(OSRRefH22_3x_0)</f>
        <v>170</v>
      </c>
      <c r="I48" s="1"/>
      <c r="J48" s="5">
        <f t="shared" si="30"/>
        <v>7.4398249452954047E-3</v>
      </c>
      <c r="K48" s="1"/>
      <c r="L48" s="1">
        <f t="shared" si="31"/>
        <v>-0.12000000000000455</v>
      </c>
      <c r="M48" s="1"/>
      <c r="N48" s="5">
        <f t="shared" si="32"/>
        <v>-7.0588235294120319E-4</v>
      </c>
      <c r="O48" s="14"/>
      <c r="P48" s="1">
        <f>SUM(OSRRefP22_3x_0)</f>
        <v>679.52</v>
      </c>
      <c r="Q48" s="1"/>
      <c r="R48" s="5">
        <f t="shared" si="33"/>
        <v>8.0491944705142204E-3</v>
      </c>
      <c r="S48" s="1"/>
      <c r="T48" s="1">
        <f>SUM(OSRRefT22_3x_0)</f>
        <v>680</v>
      </c>
      <c r="U48" s="1"/>
      <c r="V48" s="5">
        <f t="shared" si="34"/>
        <v>6.9281711665817626E-3</v>
      </c>
      <c r="W48" s="1"/>
      <c r="X48" s="1">
        <f t="shared" si="35"/>
        <v>-0.48000000000001819</v>
      </c>
      <c r="Y48" s="1"/>
      <c r="Z48" s="5">
        <f t="shared" si="36"/>
        <v>-7.0588235294120319E-4</v>
      </c>
    </row>
    <row r="49" spans="1:26" s="24" customFormat="1" hidden="1" outlineLevel="2" x14ac:dyDescent="0.25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169.88</v>
      </c>
      <c r="E49" s="2"/>
      <c r="F49" s="6">
        <f t="shared" si="29"/>
        <v>1.8056416203157004E-2</v>
      </c>
      <c r="G49" s="2"/>
      <c r="H49" s="7">
        <v>170</v>
      </c>
      <c r="I49" s="2"/>
      <c r="J49" s="6">
        <f t="shared" si="30"/>
        <v>7.4398249452954047E-3</v>
      </c>
      <c r="K49" s="2"/>
      <c r="L49" s="7">
        <f t="shared" si="31"/>
        <v>-0.12000000000000455</v>
      </c>
      <c r="M49" s="2"/>
      <c r="N49" s="6">
        <f t="shared" si="32"/>
        <v>-7.0588235294120319E-4</v>
      </c>
      <c r="O49" s="11"/>
      <c r="P49" s="7">
        <v>679.52</v>
      </c>
      <c r="Q49" s="2"/>
      <c r="R49" s="6">
        <f t="shared" si="33"/>
        <v>8.0491944705142204E-3</v>
      </c>
      <c r="S49" s="2"/>
      <c r="T49" s="7">
        <v>680</v>
      </c>
      <c r="U49" s="2"/>
      <c r="V49" s="6">
        <f t="shared" si="34"/>
        <v>6.9281711665817626E-3</v>
      </c>
      <c r="W49" s="2"/>
      <c r="X49" s="7">
        <f t="shared" si="35"/>
        <v>-0.48000000000001819</v>
      </c>
      <c r="Y49" s="2"/>
      <c r="Z49" s="6">
        <f t="shared" si="36"/>
        <v>-7.0588235294120319E-4</v>
      </c>
    </row>
    <row r="50" spans="1:26" s="28" customFormat="1" outlineLevel="1" collapsed="1" x14ac:dyDescent="0.25">
      <c r="A50" s="29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SUM(OSRRefD22_4x_0)</f>
        <v>1205.6400000000001</v>
      </c>
      <c r="E50" s="1"/>
      <c r="F50" s="5">
        <f t="shared" si="29"/>
        <v>0.12814656010815995</v>
      </c>
      <c r="G50" s="1"/>
      <c r="H50" s="1">
        <f>SUM(OSRRefH22_4x_0)</f>
        <v>1300</v>
      </c>
      <c r="I50" s="1"/>
      <c r="J50" s="5">
        <f t="shared" si="30"/>
        <v>5.689277899343545E-2</v>
      </c>
      <c r="K50" s="1"/>
      <c r="L50" s="1">
        <f t="shared" si="31"/>
        <v>-94.3599999999999</v>
      </c>
      <c r="M50" s="1"/>
      <c r="N50" s="5">
        <f t="shared" si="32"/>
        <v>-7.2584615384615303E-2</v>
      </c>
      <c r="O50" s="14"/>
      <c r="P50" s="1">
        <f>SUM(OSRRefP22_4x_0)</f>
        <v>4822.5600000000004</v>
      </c>
      <c r="Q50" s="1"/>
      <c r="R50" s="5">
        <f t="shared" si="33"/>
        <v>5.7125210863143198E-2</v>
      </c>
      <c r="S50" s="1"/>
      <c r="T50" s="1">
        <f>SUM(OSRRefT22_4x_0)</f>
        <v>5000</v>
      </c>
      <c r="U50" s="1"/>
      <c r="V50" s="5">
        <f t="shared" si="34"/>
        <v>5.0942435048395317E-2</v>
      </c>
      <c r="W50" s="1"/>
      <c r="X50" s="1">
        <f t="shared" si="35"/>
        <v>-177.4399999999996</v>
      </c>
      <c r="Y50" s="1"/>
      <c r="Z50" s="5">
        <f t="shared" si="36"/>
        <v>-3.5487999999999922E-2</v>
      </c>
    </row>
    <row r="51" spans="1:26" s="24" customFormat="1" hidden="1" outlineLevel="2" x14ac:dyDescent="0.25">
      <c r="A51" s="27"/>
      <c r="B51" s="11" t="str">
        <f>CONCATENATE("          ", "6351", " - ", "EQUIPMENT RENTAL")</f>
        <v xml:space="preserve">          6351 - EQUIPMENT RENTAL</v>
      </c>
      <c r="C51" s="11"/>
      <c r="D51" s="7">
        <v>1205.6400000000001</v>
      </c>
      <c r="E51" s="2"/>
      <c r="F51" s="6">
        <f t="shared" si="29"/>
        <v>0.12814656010815995</v>
      </c>
      <c r="G51" s="2"/>
      <c r="H51" s="7">
        <v>1300</v>
      </c>
      <c r="I51" s="2"/>
      <c r="J51" s="6">
        <f t="shared" si="30"/>
        <v>5.689277899343545E-2</v>
      </c>
      <c r="K51" s="2"/>
      <c r="L51" s="7">
        <f t="shared" si="31"/>
        <v>-94.3599999999999</v>
      </c>
      <c r="M51" s="2"/>
      <c r="N51" s="6">
        <f t="shared" si="32"/>
        <v>-7.2584615384615303E-2</v>
      </c>
      <c r="O51" s="11"/>
      <c r="P51" s="7">
        <v>4822.5600000000004</v>
      </c>
      <c r="Q51" s="2"/>
      <c r="R51" s="6">
        <f t="shared" si="33"/>
        <v>5.7125210863143198E-2</v>
      </c>
      <c r="S51" s="2"/>
      <c r="T51" s="7">
        <v>5000</v>
      </c>
      <c r="U51" s="2"/>
      <c r="V51" s="6">
        <f t="shared" si="34"/>
        <v>5.0942435048395317E-2</v>
      </c>
      <c r="W51" s="2"/>
      <c r="X51" s="7">
        <f t="shared" si="35"/>
        <v>-177.4399999999996</v>
      </c>
      <c r="Y51" s="2"/>
      <c r="Z51" s="6">
        <f t="shared" si="36"/>
        <v>-3.5487999999999922E-2</v>
      </c>
    </row>
    <row r="52" spans="1:26" s="28" customFormat="1" outlineLevel="1" collapsed="1" x14ac:dyDescent="0.25">
      <c r="A52" s="29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SUM(OSRRefD22_5x_0)</f>
        <v>-24784.420000000002</v>
      </c>
      <c r="E52" s="1"/>
      <c r="F52" s="5">
        <f t="shared" si="29"/>
        <v>-2.6343171819746205</v>
      </c>
      <c r="G52" s="1"/>
      <c r="H52" s="1">
        <f>SUM(OSRRefH22_5x_0)</f>
        <v>43300</v>
      </c>
      <c r="I52" s="1"/>
      <c r="J52" s="5">
        <f t="shared" si="30"/>
        <v>1.8949671772428884</v>
      </c>
      <c r="K52" s="1"/>
      <c r="L52" s="1">
        <f t="shared" si="31"/>
        <v>-68084.42</v>
      </c>
      <c r="M52" s="1"/>
      <c r="N52" s="5">
        <f t="shared" si="32"/>
        <v>-1.5723884526558891</v>
      </c>
      <c r="O52" s="14"/>
      <c r="P52" s="1">
        <f>SUM(OSRRefP22_5x_0)</f>
        <v>-39187.54</v>
      </c>
      <c r="Q52" s="1"/>
      <c r="R52" s="5">
        <f t="shared" si="33"/>
        <v>-0.46419256281059407</v>
      </c>
      <c r="S52" s="1"/>
      <c r="T52" s="1">
        <f>SUM(OSRRefT22_5x_0)</f>
        <v>-6000</v>
      </c>
      <c r="U52" s="1"/>
      <c r="V52" s="5">
        <f t="shared" si="34"/>
        <v>-6.1130922058074376E-2</v>
      </c>
      <c r="W52" s="1"/>
      <c r="X52" s="1">
        <f t="shared" si="35"/>
        <v>-33187.54</v>
      </c>
      <c r="Y52" s="1"/>
      <c r="Z52" s="5">
        <f t="shared" si="36"/>
        <v>5.5312566666666667</v>
      </c>
    </row>
    <row r="53" spans="1:26" s="24" customFormat="1" hidden="1" outlineLevel="2" x14ac:dyDescent="0.25">
      <c r="A53" s="27"/>
      <c r="B53" s="11" t="str">
        <f>CONCATENATE("          ", "6305", " - ", "FREIGHT OUT")</f>
        <v xml:space="preserve">          6305 - FREIGHT OUT</v>
      </c>
      <c r="C53" s="11"/>
      <c r="D53" s="7">
        <v>26152.05</v>
      </c>
      <c r="E53" s="2"/>
      <c r="F53" s="6">
        <f t="shared" si="29"/>
        <v>2.7796815361771374</v>
      </c>
      <c r="G53" s="2"/>
      <c r="H53" s="7">
        <v>55000</v>
      </c>
      <c r="I53" s="2"/>
      <c r="J53" s="6">
        <f t="shared" si="30"/>
        <v>2.4070021881838075</v>
      </c>
      <c r="K53" s="2"/>
      <c r="L53" s="7">
        <f t="shared" si="31"/>
        <v>-28847.95</v>
      </c>
      <c r="M53" s="2"/>
      <c r="N53" s="6">
        <f t="shared" si="32"/>
        <v>-0.52450818181818182</v>
      </c>
      <c r="O53" s="11"/>
      <c r="P53" s="7">
        <v>53480.79</v>
      </c>
      <c r="Q53" s="2"/>
      <c r="R53" s="6">
        <f t="shared" si="33"/>
        <v>0.63350200015707014</v>
      </c>
      <c r="S53" s="2"/>
      <c r="T53" s="7">
        <v>71300</v>
      </c>
      <c r="U53" s="2"/>
      <c r="V53" s="6">
        <f t="shared" si="34"/>
        <v>0.72643912379011721</v>
      </c>
      <c r="W53" s="2"/>
      <c r="X53" s="7">
        <f t="shared" si="35"/>
        <v>-17819.21</v>
      </c>
      <c r="Y53" s="2"/>
      <c r="Z53" s="6">
        <f t="shared" si="36"/>
        <v>-0.24991879382889198</v>
      </c>
    </row>
    <row r="54" spans="1:26" s="24" customFormat="1" hidden="1" outlineLevel="2" x14ac:dyDescent="0.25">
      <c r="A54" s="27"/>
      <c r="B54" s="11" t="str">
        <f>CONCATENATE("          ", "6307", " - ", "POSTAGE")</f>
        <v xml:space="preserve">          6307 - POSTAGE</v>
      </c>
      <c r="C54" s="11"/>
      <c r="D54" s="7">
        <v>-50936.47</v>
      </c>
      <c r="E54" s="2"/>
      <c r="F54" s="6">
        <f t="shared" si="29"/>
        <v>-5.4139987181517579</v>
      </c>
      <c r="G54" s="2"/>
      <c r="H54" s="7">
        <v>-11700</v>
      </c>
      <c r="I54" s="2"/>
      <c r="J54" s="6">
        <f t="shared" si="30"/>
        <v>-0.51203501094091908</v>
      </c>
      <c r="K54" s="2"/>
      <c r="L54" s="7">
        <f t="shared" si="31"/>
        <v>-39236.47</v>
      </c>
      <c r="M54" s="2"/>
      <c r="N54" s="6">
        <f t="shared" si="32"/>
        <v>3.3535444444444447</v>
      </c>
      <c r="O54" s="11"/>
      <c r="P54" s="7">
        <v>-92668.33</v>
      </c>
      <c r="Q54" s="2"/>
      <c r="R54" s="6">
        <f t="shared" si="33"/>
        <v>-1.0976945629676642</v>
      </c>
      <c r="S54" s="2"/>
      <c r="T54" s="7">
        <v>-77300</v>
      </c>
      <c r="U54" s="2"/>
      <c r="V54" s="6">
        <f t="shared" si="34"/>
        <v>-0.78757004584819157</v>
      </c>
      <c r="W54" s="2"/>
      <c r="X54" s="7">
        <f t="shared" si="35"/>
        <v>-15368.330000000002</v>
      </c>
      <c r="Y54" s="2"/>
      <c r="Z54" s="6">
        <f t="shared" si="36"/>
        <v>0.19881410090556276</v>
      </c>
    </row>
    <row r="55" spans="1:26" s="28" customFormat="1" outlineLevel="1" collapsed="1" x14ac:dyDescent="0.25">
      <c r="A55" s="29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SUM(OSRRefD22_6x_0)</f>
        <v>0</v>
      </c>
      <c r="E55" s="1"/>
      <c r="F55" s="5">
        <f t="shared" ref="F55:F60" si="37">IF(D$12=0,0,D55/D$12)</f>
        <v>0</v>
      </c>
      <c r="G55" s="1"/>
      <c r="H55" s="1">
        <f>SUM(OSRRefH22_6x_0)</f>
        <v>0</v>
      </c>
      <c r="I55" s="1"/>
      <c r="J55" s="5">
        <f t="shared" ref="J55:J60" si="38">IF(H$12=0,0,H55/H$12)</f>
        <v>0</v>
      </c>
      <c r="K55" s="1"/>
      <c r="L55" s="1">
        <f t="shared" ref="L55:L60" si="39">+D55-H55</f>
        <v>0</v>
      </c>
      <c r="M55" s="1"/>
      <c r="N55" s="5">
        <f t="shared" ref="N55:N60" si="40">IF(H55=0,0,L55/H55)</f>
        <v>0</v>
      </c>
      <c r="O55" s="14"/>
      <c r="P55" s="1">
        <f>SUM(OSRRefP22_6x_0)</f>
        <v>91.31</v>
      </c>
      <c r="Q55" s="1"/>
      <c r="R55" s="5">
        <f t="shared" ref="R55:R60" si="41">IF(P$12=0,0,P55/P$12)</f>
        <v>1.0816045842692689E-3</v>
      </c>
      <c r="S55" s="1"/>
      <c r="T55" s="1">
        <f>SUM(OSRRefT22_6x_0)</f>
        <v>0</v>
      </c>
      <c r="U55" s="1"/>
      <c r="V55" s="5">
        <f t="shared" ref="V55:V60" si="42">IF(T$12=0,0,T55/T$12)</f>
        <v>0</v>
      </c>
      <c r="W55" s="1"/>
      <c r="X55" s="1">
        <f t="shared" ref="X55:X60" si="43">+P55-T55</f>
        <v>91.31</v>
      </c>
      <c r="Y55" s="1"/>
      <c r="Z55" s="5">
        <f t="shared" ref="Z55:Z60" si="44">IF(T55=0,0,X55/T55)</f>
        <v>0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37"/>
        <v>0</v>
      </c>
      <c r="G56" s="2"/>
      <c r="H56" s="7"/>
      <c r="I56" s="2"/>
      <c r="J56" s="6">
        <f t="shared" si="38"/>
        <v>0</v>
      </c>
      <c r="K56" s="2"/>
      <c r="L56" s="7">
        <f t="shared" si="39"/>
        <v>0</v>
      </c>
      <c r="M56" s="2"/>
      <c r="N56" s="6">
        <f t="shared" si="40"/>
        <v>0</v>
      </c>
      <c r="O56" s="11"/>
      <c r="P56" s="7">
        <v>91.31</v>
      </c>
      <c r="Q56" s="2"/>
      <c r="R56" s="6">
        <f t="shared" si="41"/>
        <v>1.0816045842692689E-3</v>
      </c>
      <c r="S56" s="2"/>
      <c r="T56" s="7"/>
      <c r="U56" s="2"/>
      <c r="V56" s="6">
        <f t="shared" si="42"/>
        <v>0</v>
      </c>
      <c r="W56" s="2"/>
      <c r="X56" s="7">
        <f t="shared" si="43"/>
        <v>91.31</v>
      </c>
      <c r="Y56" s="2"/>
      <c r="Z56" s="6">
        <f t="shared" si="44"/>
        <v>0</v>
      </c>
    </row>
    <row r="57" spans="1:26" s="28" customFormat="1" outlineLevel="1" collapsed="1" x14ac:dyDescent="0.25">
      <c r="A57" s="29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SUM(OSRRefD22_7x_0)</f>
        <v>8307.630000000001</v>
      </c>
      <c r="E57" s="1"/>
      <c r="F57" s="5">
        <f t="shared" si="37"/>
        <v>0.88301168437622579</v>
      </c>
      <c r="G57" s="1"/>
      <c r="H57" s="1">
        <f>SUM(OSRRefH22_7x_0)</f>
        <v>4600</v>
      </c>
      <c r="I57" s="1"/>
      <c r="J57" s="5">
        <f t="shared" si="38"/>
        <v>0.20131291028446391</v>
      </c>
      <c r="K57" s="1"/>
      <c r="L57" s="1">
        <f t="shared" si="39"/>
        <v>3707.630000000001</v>
      </c>
      <c r="M57" s="1"/>
      <c r="N57" s="5">
        <f t="shared" si="40"/>
        <v>0.80600652173913068</v>
      </c>
      <c r="O57" s="14"/>
      <c r="P57" s="1">
        <f>SUM(OSRRefP22_7x_0)</f>
        <v>12385.15</v>
      </c>
      <c r="Q57" s="1"/>
      <c r="R57" s="5">
        <f t="shared" si="41"/>
        <v>0.14670720640524076</v>
      </c>
      <c r="S57" s="1"/>
      <c r="T57" s="1">
        <f>SUM(OSRRefT22_7x_0)</f>
        <v>22600</v>
      </c>
      <c r="U57" s="1"/>
      <c r="V57" s="5">
        <f t="shared" si="42"/>
        <v>0.23025980641874683</v>
      </c>
      <c r="W57" s="1"/>
      <c r="X57" s="1">
        <f t="shared" si="43"/>
        <v>-10214.85</v>
      </c>
      <c r="Y57" s="1"/>
      <c r="Z57" s="5">
        <f t="shared" si="44"/>
        <v>-0.45198451327433631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37"/>
        <v>0</v>
      </c>
      <c r="G58" s="2"/>
      <c r="H58" s="7">
        <v>100</v>
      </c>
      <c r="I58" s="2"/>
      <c r="J58" s="6">
        <f t="shared" si="38"/>
        <v>4.3763676148796497E-3</v>
      </c>
      <c r="K58" s="2"/>
      <c r="L58" s="7">
        <f t="shared" si="39"/>
        <v>-100</v>
      </c>
      <c r="M58" s="2"/>
      <c r="N58" s="6">
        <f t="shared" si="40"/>
        <v>-1</v>
      </c>
      <c r="O58" s="11"/>
      <c r="P58" s="7"/>
      <c r="Q58" s="2"/>
      <c r="R58" s="6">
        <f t="shared" si="41"/>
        <v>0</v>
      </c>
      <c r="S58" s="2"/>
      <c r="T58" s="7">
        <v>100</v>
      </c>
      <c r="U58" s="2"/>
      <c r="V58" s="6">
        <f t="shared" si="42"/>
        <v>1.0188487009679063E-3</v>
      </c>
      <c r="W58" s="2"/>
      <c r="X58" s="7">
        <f t="shared" si="43"/>
        <v>-100</v>
      </c>
      <c r="Y58" s="2"/>
      <c r="Z58" s="6">
        <f t="shared" si="44"/>
        <v>-1</v>
      </c>
    </row>
    <row r="59" spans="1:26" s="24" customFormat="1" hidden="1" outlineLevel="2" x14ac:dyDescent="0.25">
      <c r="A59" s="27"/>
      <c r="B59" s="11" t="str">
        <f>CONCATENATE("          ", "6373", " - ", "MAINTENANCE CONTRACTS")</f>
        <v xml:space="preserve">          6373 - MAINTENANCE CONTRACTS</v>
      </c>
      <c r="C59" s="11"/>
      <c r="D59" s="7">
        <v>3806.46</v>
      </c>
      <c r="E59" s="2"/>
      <c r="F59" s="6">
        <f t="shared" si="37"/>
        <v>0.40458574299899347</v>
      </c>
      <c r="G59" s="2"/>
      <c r="H59" s="7">
        <v>4500</v>
      </c>
      <c r="I59" s="2"/>
      <c r="J59" s="6">
        <f t="shared" si="38"/>
        <v>0.19693654266958424</v>
      </c>
      <c r="K59" s="2"/>
      <c r="L59" s="7">
        <f t="shared" si="39"/>
        <v>-693.54</v>
      </c>
      <c r="M59" s="2"/>
      <c r="N59" s="6">
        <f t="shared" si="40"/>
        <v>-0.15411999999999998</v>
      </c>
      <c r="O59" s="11"/>
      <c r="P59" s="7">
        <v>4487.54</v>
      </c>
      <c r="Q59" s="2"/>
      <c r="R59" s="6">
        <f t="shared" si="41"/>
        <v>5.3156760881521353E-2</v>
      </c>
      <c r="S59" s="2"/>
      <c r="T59" s="7">
        <v>22500</v>
      </c>
      <c r="U59" s="2"/>
      <c r="V59" s="6">
        <f t="shared" si="42"/>
        <v>0.22924095771777891</v>
      </c>
      <c r="W59" s="2"/>
      <c r="X59" s="7">
        <f t="shared" si="43"/>
        <v>-18012.46</v>
      </c>
      <c r="Y59" s="2"/>
      <c r="Z59" s="6">
        <f t="shared" si="44"/>
        <v>-0.8005537777777777</v>
      </c>
    </row>
    <row r="60" spans="1:26" s="24" customFormat="1" hidden="1" outlineLevel="2" x14ac:dyDescent="0.25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7">
        <v>4501.17</v>
      </c>
      <c r="E60" s="2"/>
      <c r="F60" s="6">
        <f t="shared" si="37"/>
        <v>0.47842594137723227</v>
      </c>
      <c r="G60" s="2"/>
      <c r="H60" s="7"/>
      <c r="I60" s="2"/>
      <c r="J60" s="6">
        <f t="shared" si="38"/>
        <v>0</v>
      </c>
      <c r="K60" s="2"/>
      <c r="L60" s="7">
        <f t="shared" si="39"/>
        <v>4501.17</v>
      </c>
      <c r="M60" s="2"/>
      <c r="N60" s="6">
        <f t="shared" si="40"/>
        <v>0</v>
      </c>
      <c r="O60" s="11"/>
      <c r="P60" s="7">
        <v>7897.61</v>
      </c>
      <c r="Q60" s="2"/>
      <c r="R60" s="6">
        <f t="shared" si="41"/>
        <v>9.3550445523719411E-2</v>
      </c>
      <c r="S60" s="2"/>
      <c r="T60" s="7"/>
      <c r="U60" s="2"/>
      <c r="V60" s="6">
        <f t="shared" si="42"/>
        <v>0</v>
      </c>
      <c r="W60" s="2"/>
      <c r="X60" s="7">
        <f t="shared" si="43"/>
        <v>7897.61</v>
      </c>
      <c r="Y60" s="2"/>
      <c r="Z60" s="6">
        <f t="shared" si="44"/>
        <v>0</v>
      </c>
    </row>
    <row r="61" spans="1:26" s="28" customFormat="1" outlineLevel="1" collapsed="1" x14ac:dyDescent="0.25">
      <c r="A61" s="29"/>
      <c r="B61" s="14" t="str">
        <f>CONCATENATE("     ","Royalty &amp; Commissions                             ")</f>
        <v xml:space="preserve">     Royalty &amp; Commissions                             </v>
      </c>
      <c r="C61" s="14"/>
      <c r="D61" s="1">
        <f>SUM(OSRRefD22_8x_0)</f>
        <v>1925.97</v>
      </c>
      <c r="E61" s="1"/>
      <c r="F61" s="5">
        <f t="shared" ref="F61:F67" si="45">IF(D$12=0,0,D61/D$12)</f>
        <v>0.20470988883208321</v>
      </c>
      <c r="G61" s="1"/>
      <c r="H61" s="1">
        <f>SUM(OSRRefH22_8x_0)</f>
        <v>200</v>
      </c>
      <c r="I61" s="1"/>
      <c r="J61" s="5">
        <f t="shared" ref="J61:J67" si="46">IF(H$12=0,0,H61/H$12)</f>
        <v>8.7527352297592995E-3</v>
      </c>
      <c r="K61" s="1"/>
      <c r="L61" s="1">
        <f t="shared" ref="L61:L67" si="47">+D61-H61</f>
        <v>1725.97</v>
      </c>
      <c r="M61" s="1"/>
      <c r="N61" s="5">
        <f t="shared" ref="N61:N67" si="48">IF(H61=0,0,L61/H61)</f>
        <v>8.6298499999999994</v>
      </c>
      <c r="O61" s="14"/>
      <c r="P61" s="1">
        <f>SUM(OSRRefP22_8x_0)</f>
        <v>3708.14</v>
      </c>
      <c r="Q61" s="1"/>
      <c r="R61" s="5">
        <f t="shared" ref="R61:R67" si="49">IF(P$12=0,0,P61/P$12)</f>
        <v>4.3924446644532322E-2</v>
      </c>
      <c r="S61" s="1"/>
      <c r="T61" s="1">
        <f>SUM(OSRRefT22_8x_0)</f>
        <v>9700</v>
      </c>
      <c r="U61" s="1"/>
      <c r="V61" s="5">
        <f t="shared" ref="V61:V67" si="50">IF(T$12=0,0,T61/T$12)</f>
        <v>9.8828323993886913E-2</v>
      </c>
      <c r="W61" s="1"/>
      <c r="X61" s="1">
        <f t="shared" ref="X61:X67" si="51">+P61-T61</f>
        <v>-5991.8600000000006</v>
      </c>
      <c r="Y61" s="1"/>
      <c r="Z61" s="5">
        <f t="shared" ref="Z61:Z67" si="52">IF(T61=0,0,X61/T61)</f>
        <v>-0.61771752577319594</v>
      </c>
    </row>
    <row r="62" spans="1:26" s="24" customFormat="1" hidden="1" outlineLevel="2" x14ac:dyDescent="0.25">
      <c r="A62" s="27"/>
      <c r="B62" s="11" t="str">
        <f>CONCATENATE("          ", "6259", " - ", "ROYALTY &amp; COMMISSIONS")</f>
        <v xml:space="preserve">          6259 - ROYALTY &amp; COMMISSIONS</v>
      </c>
      <c r="C62" s="11"/>
      <c r="D62" s="7">
        <v>1925.97</v>
      </c>
      <c r="E62" s="2"/>
      <c r="F62" s="6">
        <f t="shared" si="45"/>
        <v>0.20470988883208321</v>
      </c>
      <c r="G62" s="2"/>
      <c r="H62" s="7">
        <v>200</v>
      </c>
      <c r="I62" s="2"/>
      <c r="J62" s="6">
        <f t="shared" si="46"/>
        <v>8.7527352297592995E-3</v>
      </c>
      <c r="K62" s="2"/>
      <c r="L62" s="7">
        <f t="shared" si="47"/>
        <v>1725.97</v>
      </c>
      <c r="M62" s="2"/>
      <c r="N62" s="6">
        <f t="shared" si="48"/>
        <v>8.6298499999999994</v>
      </c>
      <c r="O62" s="11"/>
      <c r="P62" s="7">
        <v>3708.14</v>
      </c>
      <c r="Q62" s="2"/>
      <c r="R62" s="6">
        <f t="shared" si="49"/>
        <v>4.3924446644532322E-2</v>
      </c>
      <c r="S62" s="2"/>
      <c r="T62" s="7">
        <v>9700</v>
      </c>
      <c r="U62" s="2"/>
      <c r="V62" s="6">
        <f t="shared" si="50"/>
        <v>9.8828323993886913E-2</v>
      </c>
      <c r="W62" s="2"/>
      <c r="X62" s="7">
        <f t="shared" si="51"/>
        <v>-5991.8600000000006</v>
      </c>
      <c r="Y62" s="2"/>
      <c r="Z62" s="6">
        <f t="shared" si="52"/>
        <v>-0.61771752577319594</v>
      </c>
    </row>
    <row r="63" spans="1:26" s="28" customFormat="1" outlineLevel="1" collapsed="1" x14ac:dyDescent="0.25">
      <c r="A63" s="29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SUM(OSRRefD22_9x_0)</f>
        <v>3516.3199999999997</v>
      </c>
      <c r="E63" s="1"/>
      <c r="F63" s="5">
        <f t="shared" si="45"/>
        <v>0.37374698271418078</v>
      </c>
      <c r="G63" s="1"/>
      <c r="H63" s="1">
        <f>SUM(OSRRefH22_9x_0)</f>
        <v>4050</v>
      </c>
      <c r="I63" s="1"/>
      <c r="J63" s="5">
        <f t="shared" si="46"/>
        <v>0.17724288840262581</v>
      </c>
      <c r="K63" s="1"/>
      <c r="L63" s="1">
        <f t="shared" si="47"/>
        <v>-533.68000000000029</v>
      </c>
      <c r="M63" s="1"/>
      <c r="N63" s="5">
        <f t="shared" si="48"/>
        <v>-0.13177283950617291</v>
      </c>
      <c r="O63" s="14"/>
      <c r="P63" s="1">
        <f>SUM(OSRRefP22_9x_0)</f>
        <v>16555.43</v>
      </c>
      <c r="Q63" s="1"/>
      <c r="R63" s="5">
        <f t="shared" si="49"/>
        <v>0.19610589182509014</v>
      </c>
      <c r="S63" s="1"/>
      <c r="T63" s="1">
        <f>SUM(OSRRefT22_9x_0)</f>
        <v>18610</v>
      </c>
      <c r="U63" s="1"/>
      <c r="V63" s="5">
        <f t="shared" si="50"/>
        <v>0.18960774325012736</v>
      </c>
      <c r="W63" s="1"/>
      <c r="X63" s="1">
        <f t="shared" si="51"/>
        <v>-2054.5699999999997</v>
      </c>
      <c r="Y63" s="1"/>
      <c r="Z63" s="5">
        <f t="shared" si="52"/>
        <v>-0.11040139709833421</v>
      </c>
    </row>
    <row r="64" spans="1:26" s="24" customFormat="1" hidden="1" outlineLevel="2" x14ac:dyDescent="0.25">
      <c r="A64" s="27"/>
      <c r="B64" s="11" t="str">
        <f>CONCATENATE("          ", "6241", " - ", "OFFICE EXPENSE")</f>
        <v xml:space="preserve">          6241 - OFFICE EXPENSE</v>
      </c>
      <c r="C64" s="11"/>
      <c r="D64" s="7">
        <v>3.96</v>
      </c>
      <c r="E64" s="2"/>
      <c r="F64" s="6">
        <f t="shared" si="45"/>
        <v>4.2090539300978185E-4</v>
      </c>
      <c r="G64" s="2"/>
      <c r="H64" s="7"/>
      <c r="I64" s="2"/>
      <c r="J64" s="6">
        <f t="shared" si="46"/>
        <v>0</v>
      </c>
      <c r="K64" s="2"/>
      <c r="L64" s="7">
        <f t="shared" si="47"/>
        <v>3.96</v>
      </c>
      <c r="M64" s="2"/>
      <c r="N64" s="6">
        <f t="shared" si="48"/>
        <v>0</v>
      </c>
      <c r="O64" s="11"/>
      <c r="P64" s="7">
        <v>4835.71</v>
      </c>
      <c r="Q64" s="2"/>
      <c r="R64" s="6">
        <f t="shared" si="49"/>
        <v>5.7280978033038506E-2</v>
      </c>
      <c r="S64" s="2"/>
      <c r="T64" s="7"/>
      <c r="U64" s="2"/>
      <c r="V64" s="6">
        <f t="shared" si="50"/>
        <v>0</v>
      </c>
      <c r="W64" s="2"/>
      <c r="X64" s="7">
        <f t="shared" si="51"/>
        <v>4835.71</v>
      </c>
      <c r="Y64" s="2"/>
      <c r="Z64" s="6">
        <f t="shared" si="52"/>
        <v>0</v>
      </c>
    </row>
    <row r="65" spans="1:26" s="24" customFormat="1" hidden="1" outlineLevel="2" x14ac:dyDescent="0.25">
      <c r="A65" s="27"/>
      <c r="B65" s="11" t="str">
        <f>CONCATENATE("          ", "6243", " - ", "PAPER SUPPLIES")</f>
        <v xml:space="preserve">          6243 - PAPER SUPPLIES</v>
      </c>
      <c r="C65" s="11"/>
      <c r="D65" s="7">
        <v>735.87</v>
      </c>
      <c r="E65" s="2"/>
      <c r="F65" s="6">
        <f t="shared" si="45"/>
        <v>7.8215063523764686E-2</v>
      </c>
      <c r="G65" s="2"/>
      <c r="H65" s="7">
        <v>3500</v>
      </c>
      <c r="I65" s="2"/>
      <c r="J65" s="6">
        <f t="shared" si="46"/>
        <v>0.15317286652078774</v>
      </c>
      <c r="K65" s="2"/>
      <c r="L65" s="7">
        <f t="shared" si="47"/>
        <v>-2764.13</v>
      </c>
      <c r="M65" s="2"/>
      <c r="N65" s="6">
        <f t="shared" si="48"/>
        <v>-0.78975142857142855</v>
      </c>
      <c r="O65" s="11"/>
      <c r="P65" s="7">
        <v>4186.79</v>
      </c>
      <c r="Q65" s="2"/>
      <c r="R65" s="6">
        <f t="shared" si="49"/>
        <v>4.9594253174600068E-2</v>
      </c>
      <c r="S65" s="2"/>
      <c r="T65" s="7">
        <v>16100</v>
      </c>
      <c r="U65" s="2"/>
      <c r="V65" s="6">
        <f t="shared" si="50"/>
        <v>0.16403464085583291</v>
      </c>
      <c r="W65" s="2"/>
      <c r="X65" s="7">
        <f t="shared" si="51"/>
        <v>-11913.21</v>
      </c>
      <c r="Y65" s="2"/>
      <c r="Z65" s="6">
        <f t="shared" si="52"/>
        <v>-0.73995093167701853</v>
      </c>
    </row>
    <row r="66" spans="1:26" s="24" customFormat="1" hidden="1" outlineLevel="2" x14ac:dyDescent="0.25">
      <c r="A66" s="27"/>
      <c r="B66" s="11" t="str">
        <f>CONCATENATE("          ", "6245", " - ", "PRINTING")</f>
        <v xml:space="preserve">          6245 - PRINTING</v>
      </c>
      <c r="C66" s="11"/>
      <c r="D66" s="7">
        <v>296.68</v>
      </c>
      <c r="E66" s="2"/>
      <c r="F66" s="6">
        <f t="shared" si="45"/>
        <v>3.1533891918722745E-2</v>
      </c>
      <c r="G66" s="2"/>
      <c r="H66" s="7">
        <v>250</v>
      </c>
      <c r="I66" s="2"/>
      <c r="J66" s="6">
        <f t="shared" si="46"/>
        <v>1.0940919037199124E-2</v>
      </c>
      <c r="K66" s="2"/>
      <c r="L66" s="7">
        <f t="shared" si="47"/>
        <v>46.680000000000007</v>
      </c>
      <c r="M66" s="2"/>
      <c r="N66" s="6">
        <f t="shared" si="48"/>
        <v>0.18672000000000002</v>
      </c>
      <c r="O66" s="11"/>
      <c r="P66" s="7">
        <v>-362.39</v>
      </c>
      <c r="Q66" s="2"/>
      <c r="R66" s="6">
        <f t="shared" si="49"/>
        <v>-4.2926589124229579E-3</v>
      </c>
      <c r="S66" s="2"/>
      <c r="T66" s="7">
        <v>1905</v>
      </c>
      <c r="U66" s="2"/>
      <c r="V66" s="6">
        <f t="shared" si="50"/>
        <v>1.9409067753438616E-2</v>
      </c>
      <c r="W66" s="2"/>
      <c r="X66" s="7">
        <f t="shared" si="51"/>
        <v>-2267.39</v>
      </c>
      <c r="Y66" s="2"/>
      <c r="Z66" s="6">
        <f t="shared" si="52"/>
        <v>-1.1902309711286088</v>
      </c>
    </row>
    <row r="67" spans="1:26" s="24" customFormat="1" hidden="1" outlineLevel="2" x14ac:dyDescent="0.25">
      <c r="A67" s="27"/>
      <c r="B67" s="11" t="str">
        <f>CONCATENATE("          ", "6247", " - ", "STORE SUPPLIES")</f>
        <v xml:space="preserve">          6247 - STORE SUPPLIES</v>
      </c>
      <c r="C67" s="11"/>
      <c r="D67" s="7">
        <v>2479.81</v>
      </c>
      <c r="E67" s="2"/>
      <c r="F67" s="6">
        <f t="shared" si="45"/>
        <v>0.2635771218786836</v>
      </c>
      <c r="G67" s="2"/>
      <c r="H67" s="7">
        <v>300</v>
      </c>
      <c r="I67" s="2"/>
      <c r="J67" s="6">
        <f t="shared" si="46"/>
        <v>1.3129102844638949E-2</v>
      </c>
      <c r="K67" s="2"/>
      <c r="L67" s="7">
        <f t="shared" si="47"/>
        <v>2179.81</v>
      </c>
      <c r="M67" s="2"/>
      <c r="N67" s="6">
        <f t="shared" si="48"/>
        <v>7.2660333333333336</v>
      </c>
      <c r="O67" s="11"/>
      <c r="P67" s="7">
        <v>7895.32</v>
      </c>
      <c r="Q67" s="2"/>
      <c r="R67" s="6">
        <f t="shared" si="49"/>
        <v>9.3523319529874527E-2</v>
      </c>
      <c r="S67" s="2"/>
      <c r="T67" s="7">
        <v>605</v>
      </c>
      <c r="U67" s="2"/>
      <c r="V67" s="6">
        <f t="shared" si="50"/>
        <v>6.1640346408558333E-3</v>
      </c>
      <c r="W67" s="2"/>
      <c r="X67" s="7">
        <f t="shared" si="51"/>
        <v>7290.32</v>
      </c>
      <c r="Y67" s="2"/>
      <c r="Z67" s="6">
        <f t="shared" si="52"/>
        <v>12.050115702479339</v>
      </c>
    </row>
    <row r="68" spans="1:26" s="28" customFormat="1" outlineLevel="1" collapsed="1" x14ac:dyDescent="0.25">
      <c r="A68" s="29"/>
      <c r="B68" s="14" t="str">
        <f>CONCATENATE("     ","Telephone/Data Lines                              ")</f>
        <v xml:space="preserve">     Telephone/Data Lines                              </v>
      </c>
      <c r="C68" s="14"/>
      <c r="D68" s="1">
        <f>SUM(OSRRefD22_10x_0)</f>
        <v>46.2</v>
      </c>
      <c r="E68" s="1"/>
      <c r="F68" s="5">
        <f t="shared" ref="F68:F69" si="53">IF(D$12=0,0,D68/D$12)</f>
        <v>4.9105629184474555E-3</v>
      </c>
      <c r="G68" s="1"/>
      <c r="H68" s="1">
        <f>SUM(OSRRefH22_10x_0)</f>
        <v>175</v>
      </c>
      <c r="I68" s="1"/>
      <c r="J68" s="5">
        <f t="shared" ref="J68:J69" si="54">IF(H$12=0,0,H68/H$12)</f>
        <v>7.658643326039387E-3</v>
      </c>
      <c r="K68" s="1"/>
      <c r="L68" s="1">
        <f t="shared" ref="L68:L69" si="55">+D68-H68</f>
        <v>-128.80000000000001</v>
      </c>
      <c r="M68" s="1"/>
      <c r="N68" s="5">
        <f t="shared" ref="N68:N69" si="56">IF(H68=0,0,L68/H68)</f>
        <v>-0.7360000000000001</v>
      </c>
      <c r="O68" s="14"/>
      <c r="P68" s="1">
        <f>SUM(OSRRefP22_10x_0)</f>
        <v>532.9</v>
      </c>
      <c r="Q68" s="1"/>
      <c r="R68" s="5">
        <f t="shared" ref="R68:R69" si="57">IF(P$12=0,0,P68/P$12)</f>
        <v>6.3124201397118974E-3</v>
      </c>
      <c r="S68" s="1"/>
      <c r="T68" s="1">
        <f>SUM(OSRRefT22_10x_0)</f>
        <v>700</v>
      </c>
      <c r="U68" s="1"/>
      <c r="V68" s="5">
        <f t="shared" ref="V68:V69" si="58">IF(T$12=0,0,T68/T$12)</f>
        <v>7.1319409067753439E-3</v>
      </c>
      <c r="W68" s="1"/>
      <c r="X68" s="1">
        <f t="shared" ref="X68:X69" si="59">+P68-T68</f>
        <v>-167.10000000000002</v>
      </c>
      <c r="Y68" s="1"/>
      <c r="Z68" s="5">
        <f t="shared" ref="Z68:Z69" si="60">IF(T68=0,0,X68/T68)</f>
        <v>-0.23871428571428574</v>
      </c>
    </row>
    <row r="69" spans="1:26" s="24" customFormat="1" hidden="1" outlineLevel="2" x14ac:dyDescent="0.25">
      <c r="A69" s="27"/>
      <c r="B69" s="11" t="str">
        <f>CONCATENATE("          ", "6309", " - ", "TELEPHONE")</f>
        <v xml:space="preserve">          6309 - TELEPHONE</v>
      </c>
      <c r="C69" s="11"/>
      <c r="D69" s="7">
        <v>46.2</v>
      </c>
      <c r="E69" s="2"/>
      <c r="F69" s="6">
        <f t="shared" si="53"/>
        <v>4.9105629184474555E-3</v>
      </c>
      <c r="G69" s="2"/>
      <c r="H69" s="7">
        <v>175</v>
      </c>
      <c r="I69" s="2"/>
      <c r="J69" s="6">
        <f t="shared" si="54"/>
        <v>7.658643326039387E-3</v>
      </c>
      <c r="K69" s="2"/>
      <c r="L69" s="7">
        <f t="shared" si="55"/>
        <v>-128.80000000000001</v>
      </c>
      <c r="M69" s="2"/>
      <c r="N69" s="6">
        <f t="shared" si="56"/>
        <v>-0.7360000000000001</v>
      </c>
      <c r="O69" s="11"/>
      <c r="P69" s="7">
        <v>532.9</v>
      </c>
      <c r="Q69" s="2"/>
      <c r="R69" s="6">
        <f t="shared" si="57"/>
        <v>6.3124201397118974E-3</v>
      </c>
      <c r="S69" s="2"/>
      <c r="T69" s="7">
        <v>700</v>
      </c>
      <c r="U69" s="2"/>
      <c r="V69" s="6">
        <f t="shared" si="58"/>
        <v>7.1319409067753439E-3</v>
      </c>
      <c r="W69" s="2"/>
      <c r="X69" s="7">
        <f t="shared" si="59"/>
        <v>-167.10000000000002</v>
      </c>
      <c r="Y69" s="2"/>
      <c r="Z69" s="6">
        <f t="shared" si="60"/>
        <v>-0.23871428571428574</v>
      </c>
    </row>
    <row r="70" spans="1:26" s="60" customFormat="1" x14ac:dyDescent="0.25">
      <c r="A70" s="36"/>
      <c r="B70" s="36"/>
      <c r="C70" s="36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collapsed="1" x14ac:dyDescent="0.25">
      <c r="A71" s="10"/>
      <c r="B71" s="25" t="s">
        <v>293</v>
      </c>
      <c r="C71" s="10"/>
      <c r="D71" s="4">
        <f>SUM(OSRRefD25x_0)</f>
        <v>0</v>
      </c>
      <c r="E71" s="4"/>
      <c r="F71" s="12">
        <f t="shared" ref="F71:F72" si="61">IF(D$12=0,0,D71/D$12)</f>
        <v>0</v>
      </c>
      <c r="G71" s="4"/>
      <c r="H71" s="4">
        <f>SUM(OSRRefH25x_0)</f>
        <v>6782</v>
      </c>
      <c r="I71" s="4"/>
      <c r="J71" s="12">
        <f t="shared" ref="J71:J72" si="62">IF(H$12=0,0,H71/H$12)</f>
        <v>0.29680525164113786</v>
      </c>
      <c r="K71" s="4"/>
      <c r="L71" s="4">
        <f t="shared" ref="L71:L72" si="63">+D71-H71</f>
        <v>-6782</v>
      </c>
      <c r="M71" s="4"/>
      <c r="N71" s="12">
        <f t="shared" ref="N71:N72" si="64">IF(H71=0,0,L71/H71)</f>
        <v>-1</v>
      </c>
      <c r="O71" s="10"/>
      <c r="P71" s="4">
        <f>SUM(OSRRefP25x_0)</f>
        <v>14899</v>
      </c>
      <c r="Q71" s="4"/>
      <c r="R71" s="12">
        <f t="shared" ref="R71:R72" si="65">IF(P$12=0,0,P71/P$12)</f>
        <v>0.1764847957619958</v>
      </c>
      <c r="S71" s="4"/>
      <c r="T71" s="4">
        <f>SUM(OSRRefT25x_0)</f>
        <v>27128</v>
      </c>
      <c r="U71" s="4"/>
      <c r="V71" s="12">
        <f t="shared" ref="V71:V72" si="66">IF(T$12=0,0,T71/T$12)</f>
        <v>0.27639327559857363</v>
      </c>
      <c r="W71" s="4"/>
      <c r="X71" s="4">
        <f t="shared" ref="X71:X72" si="67">+P71-T71</f>
        <v>-12229</v>
      </c>
      <c r="Y71" s="4"/>
      <c r="Z71" s="12">
        <f t="shared" ref="Z71:Z72" si="68">IF(T71=0,0,X71/T71)</f>
        <v>-0.4507888528457682</v>
      </c>
    </row>
    <row r="72" spans="1:26" s="24" customFormat="1" hidden="1" outlineLevel="1" x14ac:dyDescent="0.25">
      <c r="A72" s="44"/>
      <c r="B72" s="11" t="str">
        <f>CONCATENATE("          ", "9150", " - ", "MISC. INCOME")</f>
        <v xml:space="preserve">          9150 - MISC. INCOME</v>
      </c>
      <c r="C72" s="11"/>
      <c r="D72" s="2">
        <f>0</f>
        <v>0</v>
      </c>
      <c r="E72" s="2"/>
      <c r="F72" s="19">
        <f t="shared" si="61"/>
        <v>0</v>
      </c>
      <c r="G72" s="2"/>
      <c r="H72" s="2">
        <v>6782</v>
      </c>
      <c r="I72" s="2"/>
      <c r="J72" s="19">
        <f t="shared" si="62"/>
        <v>0.29680525164113786</v>
      </c>
      <c r="K72" s="2"/>
      <c r="L72" s="2">
        <f t="shared" si="63"/>
        <v>-6782</v>
      </c>
      <c r="M72" s="2"/>
      <c r="N72" s="19">
        <f t="shared" si="64"/>
        <v>-1</v>
      </c>
      <c r="O72" s="11"/>
      <c r="P72" s="2">
        <f>--14899</f>
        <v>14899</v>
      </c>
      <c r="Q72" s="2"/>
      <c r="R72" s="19">
        <f t="shared" si="65"/>
        <v>0.1764847957619958</v>
      </c>
      <c r="S72" s="2"/>
      <c r="T72" s="2">
        <v>27128</v>
      </c>
      <c r="U72" s="2"/>
      <c r="V72" s="19">
        <f t="shared" si="66"/>
        <v>0.27639327559857363</v>
      </c>
      <c r="W72" s="2"/>
      <c r="X72" s="2">
        <f t="shared" si="67"/>
        <v>-12229</v>
      </c>
      <c r="Y72" s="2"/>
      <c r="Z72" s="19">
        <f t="shared" si="68"/>
        <v>-0.4507888528457682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6" t="s">
        <v>277</v>
      </c>
      <c r="C74" s="26"/>
      <c r="D74" s="21">
        <f>+D22-D24+D71</f>
        <v>-13895.08</v>
      </c>
      <c r="E74" s="13"/>
      <c r="F74" s="20">
        <f>IF(D$12=0,0,D74/D$12)</f>
        <v>-1.4768975020965553</v>
      </c>
      <c r="G74" s="13"/>
      <c r="H74" s="21">
        <f>+H22-H24+H71</f>
        <v>-40280.775299519242</v>
      </c>
      <c r="I74" s="13"/>
      <c r="J74" s="20">
        <f>IF(H$12=0,0,H74/H$12)</f>
        <v>-1.7628348052306013</v>
      </c>
      <c r="K74" s="15"/>
      <c r="L74" s="21">
        <f>+D74-H74</f>
        <v>26385.695299519241</v>
      </c>
      <c r="M74" s="15"/>
      <c r="N74" s="20">
        <f>IF(H74=0,0,L74/H74)</f>
        <v>-0.65504437546995675</v>
      </c>
      <c r="O74" s="25"/>
      <c r="P74" s="21">
        <f>+P22-P24+P71</f>
        <v>-14044.599999999991</v>
      </c>
      <c r="Q74" s="13"/>
      <c r="R74" s="20">
        <f>IF(P$12=0,0,P74/P$12)</f>
        <v>-0.16636407561305622</v>
      </c>
      <c r="S74" s="13"/>
      <c r="T74" s="21">
        <f>+T22-T24+T71</f>
        <v>-14973.691120961623</v>
      </c>
      <c r="U74" s="13"/>
      <c r="V74" s="20">
        <f>IF(T$12=0,0,T74/T$12)</f>
        <v>-0.15255925747286422</v>
      </c>
      <c r="W74" s="15"/>
      <c r="X74" s="21">
        <f>+P74-T74</f>
        <v>929.09112096163153</v>
      </c>
      <c r="Y74" s="15"/>
      <c r="Z74" s="20">
        <f>IF(T74=0,0,X74/T74)</f>
        <v>-6.2048236033198242E-2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128</v>
      </c>
      <c r="C76" s="10"/>
      <c r="D76" s="4">
        <v>473.63</v>
      </c>
      <c r="E76" s="4"/>
      <c r="F76" s="12">
        <f>IF(D$12=0,0,D76/D$12)</f>
        <v>5.0341773053339131E-2</v>
      </c>
      <c r="G76" s="4"/>
      <c r="H76" s="4">
        <v>3110</v>
      </c>
      <c r="I76" s="4"/>
      <c r="J76" s="12">
        <f>IF(H$12=0,0,H76/H$12)</f>
        <v>0.1361050328227571</v>
      </c>
      <c r="K76" s="4"/>
      <c r="L76" s="4">
        <f>+D76-H76</f>
        <v>-2636.37</v>
      </c>
      <c r="M76" s="4"/>
      <c r="N76" s="12">
        <f>IF(H76=0,0,L76/H76)</f>
        <v>-0.84770739549839225</v>
      </c>
      <c r="O76" s="10"/>
      <c r="P76" s="4">
        <v>9758.36</v>
      </c>
      <c r="Q76" s="4"/>
      <c r="R76" s="12">
        <f>IF(P$12=0,0,P76/P$12)</f>
        <v>0.11559179619920998</v>
      </c>
      <c r="S76" s="4"/>
      <c r="T76" s="4">
        <v>11287</v>
      </c>
      <c r="U76" s="4"/>
      <c r="V76" s="12">
        <f>IF(T$12=0,0,T76/T$12)</f>
        <v>0.11499745287824759</v>
      </c>
      <c r="W76" s="4"/>
      <c r="X76" s="4">
        <f>+P76-T76</f>
        <v>-1528.6399999999994</v>
      </c>
      <c r="Y76" s="4"/>
      <c r="Z76" s="12">
        <f>IF(T76=0,0,X76/T76)</f>
        <v>-0.13543368477008944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6" t="s">
        <v>126</v>
      </c>
      <c r="C78" s="26"/>
      <c r="D78" s="31">
        <f>+D74-D76</f>
        <v>-14368.71</v>
      </c>
      <c r="E78" s="13"/>
      <c r="F78" s="33">
        <f>IF(D$12=0,0,D78/D$12)</f>
        <v>-1.5272392751498944</v>
      </c>
      <c r="G78" s="13"/>
      <c r="H78" s="31">
        <f>+H74-H76</f>
        <v>-43390.775299519242</v>
      </c>
      <c r="I78" s="13"/>
      <c r="J78" s="33">
        <f>IF(H$12=0,0,H78/H$12)</f>
        <v>-1.8989398380533584</v>
      </c>
      <c r="K78" s="15"/>
      <c r="L78" s="31">
        <f>D78-H78</f>
        <v>29022.065299519243</v>
      </c>
      <c r="M78" s="15"/>
      <c r="N78" s="33">
        <f>IF(H78=0,0,L78/H78)</f>
        <v>-0.66885334726528378</v>
      </c>
      <c r="O78" s="25"/>
      <c r="P78" s="31">
        <f>+P74-P76</f>
        <v>-23802.959999999992</v>
      </c>
      <c r="Q78" s="13"/>
      <c r="R78" s="33">
        <f>IF(P$12=0,0,P78/P$12)</f>
        <v>-0.28195587181226622</v>
      </c>
      <c r="S78" s="13"/>
      <c r="T78" s="31">
        <f>+T74-T76</f>
        <v>-26260.691120961623</v>
      </c>
      <c r="U78" s="13"/>
      <c r="V78" s="33">
        <f>IF(T$12=0,0,T78/T$12)</f>
        <v>-0.26755671035111178</v>
      </c>
      <c r="W78" s="15"/>
      <c r="X78" s="31">
        <f>P78-T78</f>
        <v>2457.7311209616309</v>
      </c>
      <c r="Y78" s="15"/>
      <c r="Z78" s="33">
        <f>IF(T78=0,0,X78/T78)</f>
        <v>-9.3589734925134477E-2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6" t="s">
        <v>294</v>
      </c>
      <c r="C81" s="26"/>
      <c r="D81" s="35">
        <f>SUM(D78:D80)</f>
        <v>-14368.71</v>
      </c>
      <c r="E81" s="13"/>
      <c r="F81" s="32">
        <f>IF(D$12=0,0,D81/D$12)</f>
        <v>-1.5272392751498944</v>
      </c>
      <c r="G81" s="13"/>
      <c r="H81" s="35">
        <f>SUM(H78:H80)</f>
        <v>-43390.775299519242</v>
      </c>
      <c r="I81" s="13"/>
      <c r="J81" s="32">
        <f>IF(H$12=0,0,H81/H$12)</f>
        <v>-1.8989398380533584</v>
      </c>
      <c r="K81" s="15"/>
      <c r="L81" s="35">
        <f>+D81-H81</f>
        <v>29022.065299519243</v>
      </c>
      <c r="M81" s="15"/>
      <c r="N81" s="32">
        <f>IF(H81=0,0,L81/H81)</f>
        <v>-0.66885334726528378</v>
      </c>
      <c r="O81" s="25"/>
      <c r="P81" s="35">
        <f>SUM(P78:P80)</f>
        <v>-23802.959999999992</v>
      </c>
      <c r="Q81" s="13"/>
      <c r="R81" s="32">
        <f>IF(P$12=0,0,P81/P$12)</f>
        <v>-0.28195587181226622</v>
      </c>
      <c r="S81" s="13"/>
      <c r="T81" s="35">
        <f>SUM(T78:T80)</f>
        <v>-26260.691120961623</v>
      </c>
      <c r="U81" s="13"/>
      <c r="V81" s="32">
        <f>IF(T$12=0,0,T81/T$12)</f>
        <v>-0.26755671035111178</v>
      </c>
      <c r="W81" s="15"/>
      <c r="X81" s="35">
        <f>+P81-T81</f>
        <v>2457.7311209616309</v>
      </c>
      <c r="Y81" s="15"/>
      <c r="Z81" s="32">
        <f>IF(T81=0,0,X81/T81)</f>
        <v>-9.3589734925134477E-2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6" x14ac:dyDescent="0.25">
      <c r="A83" s="9"/>
      <c r="B83" s="59">
        <v>44517.962875613426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62" t="s">
        <v>56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7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219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127039.83</v>
      </c>
      <c r="E12" s="4"/>
      <c r="F12" s="12"/>
      <c r="G12" s="4"/>
      <c r="H12" s="4">
        <f>SUM(OSRRefH13x_0)</f>
        <v>109670</v>
      </c>
      <c r="I12" s="4"/>
      <c r="J12" s="12"/>
      <c r="K12" s="4"/>
      <c r="L12" s="4">
        <f t="shared" ref="L12:L17" si="0">+D12-H12</f>
        <v>17369.830000000002</v>
      </c>
      <c r="M12" s="4"/>
      <c r="N12" s="12">
        <f t="shared" ref="N12:N17" si="1">IF(H12=0,0,L12/H12)</f>
        <v>0.15838269353515091</v>
      </c>
      <c r="O12" s="10"/>
      <c r="P12" s="4">
        <f>SUM(OSRRefP13x_0)</f>
        <v>740579.71</v>
      </c>
      <c r="Q12" s="4"/>
      <c r="R12" s="12"/>
      <c r="S12" s="4"/>
      <c r="T12" s="4">
        <f>SUM(OSRRefT13x_0)</f>
        <v>1003805</v>
      </c>
      <c r="U12" s="4"/>
      <c r="V12" s="12"/>
      <c r="W12" s="4"/>
      <c r="X12" s="4">
        <f t="shared" ref="X12:X17" si="2">+P12-T12</f>
        <v>-263225.29000000004</v>
      </c>
      <c r="Y12" s="4"/>
      <c r="Z12" s="12">
        <f t="shared" ref="Z12:Z17" si="3">IF(T12=0,0,X12/T12)</f>
        <v>-0.26222751430805785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--84581.19</f>
        <v>84581.19</v>
      </c>
      <c r="E13" s="2"/>
      <c r="F13" s="19"/>
      <c r="G13" s="2"/>
      <c r="H13" s="2">
        <v>99228</v>
      </c>
      <c r="I13" s="2"/>
      <c r="J13" s="19"/>
      <c r="K13" s="2"/>
      <c r="L13" s="2">
        <f t="shared" si="0"/>
        <v>-14646.809999999998</v>
      </c>
      <c r="M13" s="2"/>
      <c r="N13" s="19">
        <f t="shared" si="1"/>
        <v>-0.14760763091063003</v>
      </c>
      <c r="O13" s="11"/>
      <c r="P13" s="2">
        <f>--582510.51</f>
        <v>582510.51</v>
      </c>
      <c r="Q13" s="2"/>
      <c r="R13" s="19"/>
      <c r="S13" s="2"/>
      <c r="T13" s="2">
        <v>950212</v>
      </c>
      <c r="U13" s="2"/>
      <c r="V13" s="19"/>
      <c r="W13" s="2"/>
      <c r="X13" s="2">
        <f t="shared" si="2"/>
        <v>-367701.49</v>
      </c>
      <c r="Y13" s="2"/>
      <c r="Z13" s="19">
        <f t="shared" si="3"/>
        <v>-0.38696784507036325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--70707.37</f>
        <v>70707.37</v>
      </c>
      <c r="E14" s="2"/>
      <c r="F14" s="19"/>
      <c r="G14" s="2"/>
      <c r="H14" s="2">
        <v>10442</v>
      </c>
      <c r="I14" s="2"/>
      <c r="J14" s="19"/>
      <c r="K14" s="2"/>
      <c r="L14" s="2">
        <f t="shared" si="0"/>
        <v>60265.369999999995</v>
      </c>
      <c r="M14" s="2"/>
      <c r="N14" s="19">
        <f t="shared" si="1"/>
        <v>5.7714393794292276</v>
      </c>
      <c r="O14" s="11"/>
      <c r="P14" s="2">
        <f>--267181.89</f>
        <v>267181.89</v>
      </c>
      <c r="Q14" s="2"/>
      <c r="R14" s="19"/>
      <c r="S14" s="2"/>
      <c r="T14" s="2">
        <v>53593</v>
      </c>
      <c r="U14" s="2"/>
      <c r="V14" s="19"/>
      <c r="W14" s="2"/>
      <c r="X14" s="2">
        <f t="shared" si="2"/>
        <v>213588.89</v>
      </c>
      <c r="Y14" s="2"/>
      <c r="Z14" s="19">
        <f t="shared" si="3"/>
        <v>3.9853878305002524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-28193.19</f>
        <v>-28193.19</v>
      </c>
      <c r="E15" s="2"/>
      <c r="F15" s="19"/>
      <c r="G15" s="2"/>
      <c r="H15" s="2"/>
      <c r="I15" s="2"/>
      <c r="J15" s="19"/>
      <c r="K15" s="2"/>
      <c r="L15" s="2">
        <f t="shared" si="0"/>
        <v>-28193.19</v>
      </c>
      <c r="M15" s="2"/>
      <c r="N15" s="19">
        <f t="shared" si="1"/>
        <v>0</v>
      </c>
      <c r="O15" s="11"/>
      <c r="P15" s="2">
        <f>-108367.35</f>
        <v>-108367.35</v>
      </c>
      <c r="Q15" s="2"/>
      <c r="R15" s="19"/>
      <c r="S15" s="2"/>
      <c r="T15" s="2"/>
      <c r="U15" s="2"/>
      <c r="V15" s="19"/>
      <c r="W15" s="2"/>
      <c r="X15" s="2">
        <f t="shared" si="2"/>
        <v>-108367.35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"4300", " - ", "NON-TAX RETURNS")</f>
        <v xml:space="preserve">          4300 - NON-TAX RETURNS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-689.8</f>
        <v>-689.8</v>
      </c>
      <c r="Q16" s="2"/>
      <c r="R16" s="19"/>
      <c r="S16" s="2"/>
      <c r="T16" s="2"/>
      <c r="U16" s="2"/>
      <c r="V16" s="19"/>
      <c r="W16" s="2"/>
      <c r="X16" s="2">
        <f t="shared" si="2"/>
        <v>-689.8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"4500", " - ", "SALES DISCOUNT")</f>
        <v xml:space="preserve">          4500 - SALES DISCOUNT</v>
      </c>
      <c r="C17" s="11"/>
      <c r="D17" s="2">
        <f>-55.54</f>
        <v>-55.54</v>
      </c>
      <c r="E17" s="2"/>
      <c r="F17" s="19"/>
      <c r="G17" s="2"/>
      <c r="H17" s="2"/>
      <c r="I17" s="2"/>
      <c r="J17" s="19"/>
      <c r="K17" s="2"/>
      <c r="L17" s="2">
        <f t="shared" si="0"/>
        <v>-55.54</v>
      </c>
      <c r="M17" s="2"/>
      <c r="N17" s="19">
        <f t="shared" si="1"/>
        <v>0</v>
      </c>
      <c r="O17" s="11"/>
      <c r="P17" s="2">
        <f>-55.54</f>
        <v>-55.54</v>
      </c>
      <c r="Q17" s="2"/>
      <c r="R17" s="19"/>
      <c r="S17" s="2"/>
      <c r="T17" s="2"/>
      <c r="U17" s="2"/>
      <c r="V17" s="19"/>
      <c r="W17" s="2"/>
      <c r="X17" s="2">
        <f t="shared" si="2"/>
        <v>-55.54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5" t="s">
        <v>257</v>
      </c>
      <c r="C19" s="10"/>
      <c r="D19" s="4">
        <f>SUM(OSRRefD16x_0)</f>
        <v>128311.79</v>
      </c>
      <c r="E19" s="4"/>
      <c r="F19" s="12">
        <f t="shared" ref="F19:F29" si="4">IF(D$12=0,0,D19/D$12)</f>
        <v>1.0100122929950395</v>
      </c>
      <c r="G19" s="4"/>
      <c r="H19" s="4">
        <f>SUM(OSRRefH16x_0)</f>
        <v>98154</v>
      </c>
      <c r="I19" s="4"/>
      <c r="J19" s="12">
        <f t="shared" ref="J19:J29" si="5">IF(H$12=0,0,H19/H$12)</f>
        <v>0.89499407312847634</v>
      </c>
      <c r="K19" s="4"/>
      <c r="L19" s="4">
        <f t="shared" ref="L19:L29" si="6">+D19-H19</f>
        <v>30157.789999999994</v>
      </c>
      <c r="M19" s="4"/>
      <c r="N19" s="12">
        <f t="shared" ref="N19:N29" si="7">IF(H19=0,0,L19/H19)</f>
        <v>0.30724973001609707</v>
      </c>
      <c r="O19" s="10"/>
      <c r="P19" s="4">
        <f>SUM(OSRRefP16x_0)</f>
        <v>619734.33999999985</v>
      </c>
      <c r="Q19" s="4"/>
      <c r="R19" s="12">
        <f t="shared" ref="R19:R29" si="8">IF(P$12=0,0,P19/P$12)</f>
        <v>0.83682327726747996</v>
      </c>
      <c r="S19" s="4"/>
      <c r="T19" s="4">
        <f>SUM(OSRRefT16x_0)</f>
        <v>898404</v>
      </c>
      <c r="U19" s="4"/>
      <c r="V19" s="12">
        <f t="shared" ref="V19:V29" si="9">IF(T$12=0,0,T19/T$12)</f>
        <v>0.8949985305911009</v>
      </c>
      <c r="W19" s="4"/>
      <c r="X19" s="4">
        <f t="shared" ref="X19:X29" si="10">+P19-T19</f>
        <v>-278669.66000000015</v>
      </c>
      <c r="Y19" s="4"/>
      <c r="Z19" s="12">
        <f t="shared" ref="Z19:Z29" si="11">IF(T19=0,0,X19/T19)</f>
        <v>-0.31018301343270971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134649.96</v>
      </c>
      <c r="E20" s="2"/>
      <c r="F20" s="19">
        <f t="shared" si="4"/>
        <v>1.0599034964073866</v>
      </c>
      <c r="G20" s="2"/>
      <c r="H20" s="2">
        <v>98154</v>
      </c>
      <c r="I20" s="2"/>
      <c r="J20" s="19">
        <f t="shared" si="5"/>
        <v>0.89499407312847634</v>
      </c>
      <c r="K20" s="2"/>
      <c r="L20" s="2">
        <f t="shared" si="6"/>
        <v>36495.959999999992</v>
      </c>
      <c r="M20" s="2"/>
      <c r="N20" s="19">
        <f t="shared" si="7"/>
        <v>0.37182346109175368</v>
      </c>
      <c r="O20" s="11"/>
      <c r="P20" s="2">
        <v>686852.19</v>
      </c>
      <c r="Q20" s="2"/>
      <c r="R20" s="19">
        <f t="shared" si="8"/>
        <v>0.92745207669813146</v>
      </c>
      <c r="S20" s="2"/>
      <c r="T20" s="2">
        <v>898404</v>
      </c>
      <c r="U20" s="2"/>
      <c r="V20" s="19">
        <f t="shared" si="9"/>
        <v>0.8949985305911009</v>
      </c>
      <c r="W20" s="2"/>
      <c r="X20" s="2">
        <f t="shared" si="10"/>
        <v>-211551.81000000006</v>
      </c>
      <c r="Y20" s="2"/>
      <c r="Z20" s="19">
        <f t="shared" si="11"/>
        <v>-0.23547514258618624</v>
      </c>
    </row>
    <row r="21" spans="1:26" s="24" customFormat="1" hidden="1" outlineLevel="1" x14ac:dyDescent="0.25">
      <c r="A21" s="44"/>
      <c r="B21" s="11" t="str">
        <f>CONCATENATE("          ", "5081", " - ", "PURCHASES @ COST-ELECTRONICS")</f>
        <v xml:space="preserve">          5081 - PURCHASES @ COST-ELECTRONICS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"5082", " - ", "PURCHASES @ COST-COMPUTER HARD")</f>
        <v xml:space="preserve">          5082 - PURCHASES @ COST-COMPUTER HARD</v>
      </c>
      <c r="C22" s="11"/>
      <c r="D22" s="2">
        <v>-20540.88</v>
      </c>
      <c r="E22" s="2"/>
      <c r="F22" s="19">
        <f t="shared" si="4"/>
        <v>-0.16168850351893577</v>
      </c>
      <c r="G22" s="2"/>
      <c r="H22" s="2"/>
      <c r="I22" s="2"/>
      <c r="J22" s="19">
        <f t="shared" si="5"/>
        <v>0</v>
      </c>
      <c r="K22" s="2"/>
      <c r="L22" s="2">
        <f t="shared" si="6"/>
        <v>-20540.88</v>
      </c>
      <c r="M22" s="2"/>
      <c r="N22" s="19">
        <f t="shared" si="7"/>
        <v>0</v>
      </c>
      <c r="O22" s="11"/>
      <c r="P22" s="2">
        <v>-77324.73</v>
      </c>
      <c r="Q22" s="2"/>
      <c r="R22" s="19">
        <f t="shared" si="8"/>
        <v>-0.10441108358207653</v>
      </c>
      <c r="S22" s="2"/>
      <c r="T22" s="2"/>
      <c r="U22" s="2"/>
      <c r="V22" s="19">
        <f t="shared" si="9"/>
        <v>0</v>
      </c>
      <c r="W22" s="2"/>
      <c r="X22" s="2">
        <f t="shared" si="10"/>
        <v>-77324.73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"5083", " - ", "PURCHASES @ COST-COMPUTER EQUI")</f>
        <v xml:space="preserve">          5083 - PURCHASES @ COST-COMPUTER EQUI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"5085", " - ", "PURCHASES @ COST-SOFTWARE")</f>
        <v xml:space="preserve">          5085 - PURCHASES @ COST-SOFTWARE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"5086", " - ", "PURCHASES @ COST-COMPUTER SUPP")</f>
        <v xml:space="preserve">          5086 - PURCHASES @ COST-COMPUTER SUPP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"5200", " - ", "PURCHASES OFFSET")</f>
        <v xml:space="preserve">          5200 - PURCHASES OFFSET</v>
      </c>
      <c r="C26" s="11"/>
      <c r="D26" s="2">
        <v>-134658.5</v>
      </c>
      <c r="E26" s="2"/>
      <c r="F26" s="19">
        <f t="shared" si="4"/>
        <v>-1.059970719419256</v>
      </c>
      <c r="G26" s="2"/>
      <c r="H26" s="2"/>
      <c r="I26" s="2"/>
      <c r="J26" s="19">
        <f t="shared" si="5"/>
        <v>0</v>
      </c>
      <c r="K26" s="2"/>
      <c r="L26" s="2">
        <f t="shared" si="6"/>
        <v>-134658.5</v>
      </c>
      <c r="M26" s="2"/>
      <c r="N26" s="19">
        <f t="shared" si="7"/>
        <v>0</v>
      </c>
      <c r="O26" s="11"/>
      <c r="P26" s="2">
        <v>-686896.38</v>
      </c>
      <c r="Q26" s="2"/>
      <c r="R26" s="19">
        <f t="shared" si="8"/>
        <v>-0.9275117461697675</v>
      </c>
      <c r="S26" s="2"/>
      <c r="T26" s="2"/>
      <c r="U26" s="2"/>
      <c r="V26" s="19">
        <f t="shared" si="9"/>
        <v>0</v>
      </c>
      <c r="W26" s="2"/>
      <c r="X26" s="2">
        <f t="shared" si="10"/>
        <v>-686896.38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"5300", " - ", "COG$ OFFSET")</f>
        <v xml:space="preserve">          5300 - COG$ OFFSET</v>
      </c>
      <c r="C27" s="11"/>
      <c r="D27" s="2">
        <v>148852.67000000001</v>
      </c>
      <c r="E27" s="2"/>
      <c r="F27" s="19">
        <f t="shared" si="4"/>
        <v>1.1717007965139752</v>
      </c>
      <c r="G27" s="2"/>
      <c r="H27" s="2"/>
      <c r="I27" s="2"/>
      <c r="J27" s="19">
        <f t="shared" si="5"/>
        <v>0</v>
      </c>
      <c r="K27" s="2"/>
      <c r="L27" s="2">
        <f t="shared" si="6"/>
        <v>148852.67000000001</v>
      </c>
      <c r="M27" s="2"/>
      <c r="N27" s="19">
        <f t="shared" si="7"/>
        <v>0</v>
      </c>
      <c r="O27" s="11"/>
      <c r="P27" s="2">
        <v>697059.07</v>
      </c>
      <c r="Q27" s="2"/>
      <c r="R27" s="19">
        <f t="shared" si="8"/>
        <v>0.94123436084955658</v>
      </c>
      <c r="S27" s="2"/>
      <c r="T27" s="2"/>
      <c r="U27" s="2"/>
      <c r="V27" s="19">
        <f t="shared" si="9"/>
        <v>0</v>
      </c>
      <c r="W27" s="2"/>
      <c r="X27" s="2">
        <f t="shared" si="10"/>
        <v>697059.07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"5500", " - ", "FREIGHT-IN")</f>
        <v xml:space="preserve">          5500 - FREIGHT-IN</v>
      </c>
      <c r="C28" s="11"/>
      <c r="D28" s="2">
        <v>8.5399999999999991</v>
      </c>
      <c r="E28" s="2"/>
      <c r="F28" s="19">
        <f t="shared" si="4"/>
        <v>6.7223011869584515E-5</v>
      </c>
      <c r="G28" s="2"/>
      <c r="H28" s="2"/>
      <c r="I28" s="2"/>
      <c r="J28" s="19">
        <f t="shared" si="5"/>
        <v>0</v>
      </c>
      <c r="K28" s="2"/>
      <c r="L28" s="2">
        <f t="shared" si="6"/>
        <v>8.5399999999999991</v>
      </c>
      <c r="M28" s="2"/>
      <c r="N28" s="19">
        <f t="shared" si="7"/>
        <v>0</v>
      </c>
      <c r="O28" s="11"/>
      <c r="P28" s="2">
        <v>44.19</v>
      </c>
      <c r="Q28" s="2"/>
      <c r="R28" s="19">
        <f t="shared" si="8"/>
        <v>5.9669471635943144E-5</v>
      </c>
      <c r="S28" s="2"/>
      <c r="T28" s="2"/>
      <c r="U28" s="2"/>
      <c r="V28" s="19">
        <f t="shared" si="9"/>
        <v>0</v>
      </c>
      <c r="W28" s="2"/>
      <c r="X28" s="2">
        <f t="shared" si="10"/>
        <v>44.19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"5583", " - ", "FREIGHT-IN-COMPUTER EQUIPMENT")</f>
        <v xml:space="preserve">          5583 - FREIGHT-IN-COMPUTER EQUIPMENT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6" t="s">
        <v>108</v>
      </c>
      <c r="C31" s="26"/>
      <c r="D31" s="21">
        <f>D12-D19</f>
        <v>-1271.9599999999919</v>
      </c>
      <c r="E31" s="13"/>
      <c r="F31" s="20">
        <f>IF(D$12=0,0,D31/D$12)</f>
        <v>-1.0012292995039366E-2</v>
      </c>
      <c r="G31" s="13"/>
      <c r="H31" s="21">
        <f>H12-H19</f>
        <v>11516</v>
      </c>
      <c r="I31" s="13"/>
      <c r="J31" s="20">
        <f>IF(H$12=0,0,H31/H$12)</f>
        <v>0.10500592687152366</v>
      </c>
      <c r="K31" s="15"/>
      <c r="L31" s="21">
        <f>+D31-H31</f>
        <v>-12787.959999999992</v>
      </c>
      <c r="M31" s="15"/>
      <c r="N31" s="20">
        <f>IF(H31=0,0,L31/H31)</f>
        <v>-1.110451545675581</v>
      </c>
      <c r="O31" s="25"/>
      <c r="P31" s="21">
        <f>P12-P19</f>
        <v>120845.37000000011</v>
      </c>
      <c r="Q31" s="13"/>
      <c r="R31" s="20">
        <f>IF(P$12=0,0,P31/P$12)</f>
        <v>0.16317672273252007</v>
      </c>
      <c r="S31" s="13"/>
      <c r="T31" s="21">
        <f>T12-T19</f>
        <v>105401</v>
      </c>
      <c r="U31" s="13"/>
      <c r="V31" s="20">
        <f>IF(T$12=0,0,T31/T$12)</f>
        <v>0.10500146940889914</v>
      </c>
      <c r="W31" s="15"/>
      <c r="X31" s="21">
        <f>+P31-T31</f>
        <v>15444.370000000112</v>
      </c>
      <c r="Y31" s="15"/>
      <c r="Z31" s="20">
        <f>IF(T31=0,0,X31/T31)</f>
        <v>0.14652963444369704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5" t="s">
        <v>295</v>
      </c>
      <c r="C33" s="10"/>
      <c r="D33" s="22">
        <f>SUM(OSRRefD22x_0)</f>
        <v>15889.1</v>
      </c>
      <c r="E33" s="22"/>
      <c r="F33" s="34">
        <f t="shared" ref="F33:F44" si="12">IF(D$12=0,0,D33/D$12)</f>
        <v>0.12507179834859666</v>
      </c>
      <c r="G33" s="22"/>
      <c r="H33" s="22">
        <f>SUM(OSRRefH22x_0)</f>
        <v>17042.1444810875</v>
      </c>
      <c r="I33" s="22"/>
      <c r="J33" s="34">
        <f t="shared" ref="J33:J44" si="13">IF(H$12=0,0,H33/H$12)</f>
        <v>0.15539477050321418</v>
      </c>
      <c r="K33" s="4"/>
      <c r="L33" s="22">
        <f t="shared" ref="L33:L44" si="14">+D33-H33</f>
        <v>-1153.0444810874997</v>
      </c>
      <c r="M33" s="4"/>
      <c r="N33" s="34">
        <f t="shared" ref="N33:N44" si="15">IF(H33=0,0,L33/H33)</f>
        <v>-6.7658414841341677E-2</v>
      </c>
      <c r="O33" s="10"/>
      <c r="P33" s="22">
        <f>SUM(OSRRefP22x_0)</f>
        <v>59025.150000000009</v>
      </c>
      <c r="Q33" s="22"/>
      <c r="R33" s="34">
        <f t="shared" ref="R33:R44" si="16">IF(P$12=0,0,P33/P$12)</f>
        <v>7.9701278880567786E-2</v>
      </c>
      <c r="S33" s="22"/>
      <c r="T33" s="22">
        <f>SUM(OSRRefT22x_0)</f>
        <v>67309.855811914997</v>
      </c>
      <c r="U33" s="22"/>
      <c r="V33" s="34">
        <f t="shared" ref="V33:V44" si="17">IF(T$12=0,0,T33/T$12)</f>
        <v>6.7054712630356492E-2</v>
      </c>
      <c r="W33" s="4"/>
      <c r="X33" s="22">
        <f t="shared" ref="X33:X44" si="18">+P33-T33</f>
        <v>-8284.7058119149879</v>
      </c>
      <c r="Y33" s="4"/>
      <c r="Z33" s="34">
        <f t="shared" ref="Z33:Z44" si="19">IF(T33=0,0,X33/T33)</f>
        <v>-0.12308310145642079</v>
      </c>
    </row>
    <row r="34" spans="1:26" s="28" customFormat="1" outlineLevel="1" collapsed="1" x14ac:dyDescent="0.25">
      <c r="A34" s="29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1906.2399999999998</v>
      </c>
      <c r="E34" s="1"/>
      <c r="F34" s="5">
        <f t="shared" si="12"/>
        <v>1.5005057862561684E-2</v>
      </c>
      <c r="G34" s="1"/>
      <c r="H34" s="1">
        <f>SUM(OSRRefH22_0x_0)</f>
        <v>3035.2062935875001</v>
      </c>
      <c r="I34" s="1"/>
      <c r="J34" s="5">
        <f t="shared" si="13"/>
        <v>2.7675811922927875E-2</v>
      </c>
      <c r="K34" s="1"/>
      <c r="L34" s="1">
        <f t="shared" si="14"/>
        <v>-1128.9662935875003</v>
      </c>
      <c r="M34" s="1"/>
      <c r="N34" s="5">
        <f t="shared" si="15"/>
        <v>-0.37195702182506496</v>
      </c>
      <c r="O34" s="14"/>
      <c r="P34" s="1">
        <f>SUM(OSRRefP22_0x_0)</f>
        <v>6565.61</v>
      </c>
      <c r="Q34" s="1"/>
      <c r="R34" s="5">
        <f t="shared" si="16"/>
        <v>8.8655007845137961E-3</v>
      </c>
      <c r="S34" s="1"/>
      <c r="T34" s="1">
        <f>SUM(OSRRefT22_0x_0)</f>
        <v>12036.878336914999</v>
      </c>
      <c r="U34" s="1"/>
      <c r="V34" s="5">
        <f t="shared" si="17"/>
        <v>1.1991251624483838E-2</v>
      </c>
      <c r="W34" s="1"/>
      <c r="X34" s="1">
        <f t="shared" si="18"/>
        <v>-5471.2683369149991</v>
      </c>
      <c r="Y34" s="1"/>
      <c r="Z34" s="5">
        <f t="shared" si="19"/>
        <v>-0.45454213158702261</v>
      </c>
    </row>
    <row r="35" spans="1:26" s="24" customFormat="1" hidden="1" outlineLevel="2" x14ac:dyDescent="0.25">
      <c r="A35" s="27"/>
      <c r="B35" s="11" t="str">
        <f>CONCATENATE("          ", "6111", " - ", "F.I.C.A.")</f>
        <v xml:space="preserve">          6111 - F.I.C.A.</v>
      </c>
      <c r="C35" s="11"/>
      <c r="D35" s="7">
        <v>724.92</v>
      </c>
      <c r="E35" s="2"/>
      <c r="F35" s="6">
        <f t="shared" si="12"/>
        <v>5.7062418927985026E-3</v>
      </c>
      <c r="G35" s="2"/>
      <c r="H35" s="7">
        <v>571.71439946249996</v>
      </c>
      <c r="I35" s="2"/>
      <c r="J35" s="6">
        <f t="shared" si="13"/>
        <v>5.2130427597565417E-3</v>
      </c>
      <c r="K35" s="2"/>
      <c r="L35" s="7">
        <f t="shared" si="14"/>
        <v>153.2056005375</v>
      </c>
      <c r="M35" s="2"/>
      <c r="N35" s="6">
        <f t="shared" si="15"/>
        <v>0.26797575971767895</v>
      </c>
      <c r="O35" s="11"/>
      <c r="P35" s="7">
        <v>2334.02</v>
      </c>
      <c r="Q35" s="2"/>
      <c r="R35" s="6">
        <f t="shared" si="16"/>
        <v>3.1516121336891611E-3</v>
      </c>
      <c r="S35" s="2"/>
      <c r="T35" s="7">
        <v>2836.941118065</v>
      </c>
      <c r="U35" s="2"/>
      <c r="V35" s="6">
        <f t="shared" si="17"/>
        <v>2.8261874747236766E-3</v>
      </c>
      <c r="W35" s="2"/>
      <c r="X35" s="7">
        <f t="shared" si="18"/>
        <v>-502.92111806499997</v>
      </c>
      <c r="Y35" s="2"/>
      <c r="Z35" s="6">
        <f t="shared" si="19"/>
        <v>-0.17727583941115729</v>
      </c>
    </row>
    <row r="36" spans="1:26" s="24" customFormat="1" hidden="1" outlineLevel="2" x14ac:dyDescent="0.25">
      <c r="A36" s="27"/>
      <c r="B36" s="11" t="str">
        <f>CONCATENATE("          ", "6112", " - ", "COMPENSATION INSURANCE")</f>
        <v xml:space="preserve">          6112 - COMPENSATION INSURANCE</v>
      </c>
      <c r="C36" s="11"/>
      <c r="D36" s="7">
        <v>184.01</v>
      </c>
      <c r="E36" s="2"/>
      <c r="F36" s="6">
        <f t="shared" si="12"/>
        <v>1.4484433740189985E-3</v>
      </c>
      <c r="G36" s="2"/>
      <c r="H36" s="7">
        <v>201.0911955</v>
      </c>
      <c r="I36" s="2"/>
      <c r="J36" s="6">
        <f t="shared" si="13"/>
        <v>1.8336025850278106E-3</v>
      </c>
      <c r="K36" s="2"/>
      <c r="L36" s="7">
        <f t="shared" si="14"/>
        <v>-17.081195500000007</v>
      </c>
      <c r="M36" s="2"/>
      <c r="N36" s="6">
        <f t="shared" si="15"/>
        <v>-8.4942532951424052E-2</v>
      </c>
      <c r="O36" s="11"/>
      <c r="P36" s="7">
        <v>609.96</v>
      </c>
      <c r="Q36" s="2"/>
      <c r="R36" s="6">
        <f t="shared" si="16"/>
        <v>8.2362504908485817E-4</v>
      </c>
      <c r="S36" s="2"/>
      <c r="T36" s="7">
        <v>743.14750379999998</v>
      </c>
      <c r="U36" s="2"/>
      <c r="V36" s="6">
        <f t="shared" si="17"/>
        <v>7.4033054607219526E-4</v>
      </c>
      <c r="W36" s="2"/>
      <c r="X36" s="7">
        <f t="shared" si="18"/>
        <v>-133.18750379999994</v>
      </c>
      <c r="Y36" s="2"/>
      <c r="Z36" s="6">
        <f t="shared" si="19"/>
        <v>-0.17922081836911358</v>
      </c>
    </row>
    <row r="37" spans="1:26" s="24" customFormat="1" hidden="1" outlineLevel="2" x14ac:dyDescent="0.25">
      <c r="A37" s="27"/>
      <c r="B37" s="11" t="str">
        <f>CONCATENATE("          ", "6113", " - ", "GROUP INSURANCE")</f>
        <v xml:space="preserve">          6113 - GROUP INSURANCE</v>
      </c>
      <c r="C37" s="11"/>
      <c r="D37" s="7">
        <v>853.84</v>
      </c>
      <c r="E37" s="2"/>
      <c r="F37" s="6">
        <f t="shared" si="12"/>
        <v>6.7210417394292796E-3</v>
      </c>
      <c r="G37" s="2"/>
      <c r="H37" s="7">
        <v>1096.5</v>
      </c>
      <c r="I37" s="2"/>
      <c r="J37" s="6">
        <f t="shared" si="13"/>
        <v>9.9981763472234888E-3</v>
      </c>
      <c r="K37" s="2"/>
      <c r="L37" s="7">
        <f t="shared" si="14"/>
        <v>-242.65999999999997</v>
      </c>
      <c r="M37" s="2"/>
      <c r="N37" s="6">
        <f t="shared" si="15"/>
        <v>-0.22130414956680344</v>
      </c>
      <c r="O37" s="11"/>
      <c r="P37" s="7">
        <v>2042.73</v>
      </c>
      <c r="Q37" s="2"/>
      <c r="R37" s="6">
        <f t="shared" si="16"/>
        <v>2.7582851277413475E-3</v>
      </c>
      <c r="S37" s="2"/>
      <c r="T37" s="7">
        <v>4080</v>
      </c>
      <c r="U37" s="2"/>
      <c r="V37" s="6">
        <f t="shared" si="17"/>
        <v>4.0645344464313284E-3</v>
      </c>
      <c r="W37" s="2"/>
      <c r="X37" s="7">
        <f t="shared" si="18"/>
        <v>-2037.27</v>
      </c>
      <c r="Y37" s="2"/>
      <c r="Z37" s="6">
        <f t="shared" si="19"/>
        <v>-0.49933088235294115</v>
      </c>
    </row>
    <row r="38" spans="1:26" s="24" customFormat="1" hidden="1" outlineLevel="2" x14ac:dyDescent="0.25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7">
        <v>32.33</v>
      </c>
      <c r="E38" s="2"/>
      <c r="F38" s="6">
        <f t="shared" si="12"/>
        <v>2.544871163634271E-4</v>
      </c>
      <c r="G38" s="2"/>
      <c r="H38" s="7">
        <v>27.069968625000001</v>
      </c>
      <c r="I38" s="2"/>
      <c r="J38" s="6">
        <f t="shared" si="13"/>
        <v>2.4683111721528222E-4</v>
      </c>
      <c r="K38" s="2"/>
      <c r="L38" s="7">
        <f t="shared" si="14"/>
        <v>5.260031374999997</v>
      </c>
      <c r="M38" s="2"/>
      <c r="N38" s="6">
        <f t="shared" si="15"/>
        <v>0.19431242968424375</v>
      </c>
      <c r="O38" s="11"/>
      <c r="P38" s="7">
        <v>107.16</v>
      </c>
      <c r="Q38" s="2"/>
      <c r="R38" s="6">
        <f t="shared" si="16"/>
        <v>1.4469745599700537E-4</v>
      </c>
      <c r="S38" s="2"/>
      <c r="T38" s="7">
        <v>100.03908705000001</v>
      </c>
      <c r="U38" s="2"/>
      <c r="V38" s="6">
        <f t="shared" si="17"/>
        <v>9.9659881202026295E-5</v>
      </c>
      <c r="W38" s="2"/>
      <c r="X38" s="7">
        <f t="shared" si="18"/>
        <v>7.1209129499999904</v>
      </c>
      <c r="Y38" s="2"/>
      <c r="Z38" s="6">
        <f t="shared" si="19"/>
        <v>7.1181306827009766E-2</v>
      </c>
    </row>
    <row r="39" spans="1:26" s="24" customFormat="1" hidden="1" outlineLevel="2" x14ac:dyDescent="0.25">
      <c r="A39" s="27"/>
      <c r="B39" s="11" t="str">
        <f>CONCATENATE("          ", "6115", " - ", "P.E.R.S.")</f>
        <v xml:space="preserve">          6115 - P.E.R.S.</v>
      </c>
      <c r="C39" s="11"/>
      <c r="D39" s="7">
        <v>148.88</v>
      </c>
      <c r="E39" s="2"/>
      <c r="F39" s="6">
        <f t="shared" si="12"/>
        <v>1.171915925895052E-3</v>
      </c>
      <c r="G39" s="2"/>
      <c r="H39" s="7">
        <v>252.70766750000001</v>
      </c>
      <c r="I39" s="2"/>
      <c r="J39" s="6">
        <f t="shared" si="13"/>
        <v>2.3042551974104134E-3</v>
      </c>
      <c r="K39" s="2"/>
      <c r="L39" s="7">
        <f t="shared" si="14"/>
        <v>-103.82766750000002</v>
      </c>
      <c r="M39" s="2"/>
      <c r="N39" s="6">
        <f t="shared" si="15"/>
        <v>-0.41086077255649561</v>
      </c>
      <c r="O39" s="11"/>
      <c r="P39" s="7">
        <v>481.28</v>
      </c>
      <c r="Q39" s="2"/>
      <c r="R39" s="6">
        <f t="shared" si="16"/>
        <v>6.4986927605672584E-4</v>
      </c>
      <c r="S39" s="2"/>
      <c r="T39" s="7">
        <v>909.74760300000003</v>
      </c>
      <c r="U39" s="2"/>
      <c r="V39" s="6">
        <f t="shared" si="17"/>
        <v>9.06299134792116E-4</v>
      </c>
      <c r="W39" s="2"/>
      <c r="X39" s="7">
        <f t="shared" si="18"/>
        <v>-428.46760300000005</v>
      </c>
      <c r="Y39" s="2"/>
      <c r="Z39" s="6">
        <f t="shared" si="19"/>
        <v>-0.47097414885961514</v>
      </c>
    </row>
    <row r="40" spans="1:26" s="24" customFormat="1" hidden="1" outlineLevel="2" x14ac:dyDescent="0.25">
      <c r="A40" s="27"/>
      <c r="B40" s="11" t="str">
        <f>CONCATENATE("          ", "6116", " - ", "EDUCATIONAL BENEFITS")</f>
        <v xml:space="preserve">          6116 - EDUCATIONAL BENEFITS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7"/>
      <c r="B41" s="11" t="str">
        <f>CONCATENATE("          ", "6117", " - ", "RETIREMENT STAFF HOURLY")</f>
        <v xml:space="preserve">          6117 - RETIREMENT STAFF HOURLY</v>
      </c>
      <c r="C41" s="11"/>
      <c r="D41" s="7">
        <v>-940.04</v>
      </c>
      <c r="E41" s="2"/>
      <c r="F41" s="6">
        <f t="shared" si="12"/>
        <v>-7.3995690957709874E-3</v>
      </c>
      <c r="G41" s="2"/>
      <c r="H41" s="7"/>
      <c r="I41" s="2"/>
      <c r="J41" s="6">
        <f t="shared" si="13"/>
        <v>0</v>
      </c>
      <c r="K41" s="2"/>
      <c r="L41" s="7">
        <f t="shared" si="14"/>
        <v>-940.04</v>
      </c>
      <c r="M41" s="2"/>
      <c r="N41" s="6">
        <f t="shared" si="15"/>
        <v>0</v>
      </c>
      <c r="O41" s="11"/>
      <c r="P41" s="7">
        <v>-657.34</v>
      </c>
      <c r="Q41" s="2"/>
      <c r="R41" s="6">
        <f t="shared" si="16"/>
        <v>-8.8760195712086153E-4</v>
      </c>
      <c r="S41" s="2"/>
      <c r="T41" s="7"/>
      <c r="U41" s="2"/>
      <c r="V41" s="6">
        <f t="shared" si="17"/>
        <v>0</v>
      </c>
      <c r="W41" s="2"/>
      <c r="X41" s="7">
        <f t="shared" si="18"/>
        <v>-657.34</v>
      </c>
      <c r="Y41" s="2"/>
      <c r="Z41" s="6">
        <f t="shared" si="19"/>
        <v>0</v>
      </c>
    </row>
    <row r="42" spans="1:26" s="24" customFormat="1" hidden="1" outlineLevel="2" x14ac:dyDescent="0.25">
      <c r="A42" s="27"/>
      <c r="B42" s="11" t="str">
        <f>CONCATENATE("          ", "6118", " - ", "VACATION")</f>
        <v xml:space="preserve">          6118 - VACATION</v>
      </c>
      <c r="C42" s="11"/>
      <c r="D42" s="7">
        <v>313.04000000000002</v>
      </c>
      <c r="E42" s="2"/>
      <c r="F42" s="6">
        <f t="shared" si="12"/>
        <v>2.4641090908260818E-3</v>
      </c>
      <c r="G42" s="2"/>
      <c r="H42" s="7">
        <v>224.11383749999999</v>
      </c>
      <c r="I42" s="2"/>
      <c r="J42" s="6">
        <f t="shared" si="13"/>
        <v>2.043529110057445E-3</v>
      </c>
      <c r="K42" s="2"/>
      <c r="L42" s="7">
        <f t="shared" si="14"/>
        <v>88.926162500000032</v>
      </c>
      <c r="M42" s="2"/>
      <c r="N42" s="6">
        <f t="shared" si="15"/>
        <v>0.39679014688238534</v>
      </c>
      <c r="O42" s="11"/>
      <c r="P42" s="7">
        <v>565.6</v>
      </c>
      <c r="Q42" s="2"/>
      <c r="R42" s="6">
        <f t="shared" si="16"/>
        <v>7.6372602754671746E-4</v>
      </c>
      <c r="S42" s="2"/>
      <c r="T42" s="7">
        <v>806.80981499999996</v>
      </c>
      <c r="U42" s="2"/>
      <c r="V42" s="6">
        <f t="shared" si="17"/>
        <v>8.0375154038882051E-4</v>
      </c>
      <c r="W42" s="2"/>
      <c r="X42" s="7">
        <f t="shared" si="18"/>
        <v>-241.20981499999994</v>
      </c>
      <c r="Y42" s="2"/>
      <c r="Z42" s="6">
        <f t="shared" si="19"/>
        <v>-0.29896737808029761</v>
      </c>
    </row>
    <row r="43" spans="1:26" s="24" customFormat="1" hidden="1" outlineLevel="2" x14ac:dyDescent="0.25">
      <c r="A43" s="27"/>
      <c r="B43" s="11" t="str">
        <f>CONCATENATE("          ", "6119", " - ", "SICK LEAVE")</f>
        <v xml:space="preserve">          6119 - SICK LEAVE</v>
      </c>
      <c r="C43" s="11"/>
      <c r="D43" s="7">
        <v>311.87</v>
      </c>
      <c r="E43" s="2"/>
      <c r="F43" s="6">
        <f t="shared" si="12"/>
        <v>2.4548993807690074E-3</v>
      </c>
      <c r="G43" s="2"/>
      <c r="H43" s="7">
        <v>312.00922500000001</v>
      </c>
      <c r="I43" s="2"/>
      <c r="J43" s="6">
        <f t="shared" si="13"/>
        <v>2.8449824473420261E-3</v>
      </c>
      <c r="K43" s="2"/>
      <c r="L43" s="7">
        <f t="shared" si="14"/>
        <v>-0.13922500000001037</v>
      </c>
      <c r="M43" s="2"/>
      <c r="N43" s="6">
        <f t="shared" si="15"/>
        <v>-4.4622078081188259E-4</v>
      </c>
      <c r="O43" s="11"/>
      <c r="P43" s="7">
        <v>614.45000000000005</v>
      </c>
      <c r="Q43" s="2"/>
      <c r="R43" s="6">
        <f t="shared" si="16"/>
        <v>8.296878670899586E-4</v>
      </c>
      <c r="S43" s="2"/>
      <c r="T43" s="7">
        <v>1160.1932099999999</v>
      </c>
      <c r="U43" s="2"/>
      <c r="V43" s="6">
        <f t="shared" si="17"/>
        <v>1.1557954084707685E-3</v>
      </c>
      <c r="W43" s="2"/>
      <c r="X43" s="7">
        <f t="shared" si="18"/>
        <v>-545.74320999999986</v>
      </c>
      <c r="Y43" s="2"/>
      <c r="Z43" s="6">
        <f t="shared" si="19"/>
        <v>-0.47038993617278618</v>
      </c>
    </row>
    <row r="44" spans="1:26" s="24" customFormat="1" hidden="1" outlineLevel="2" x14ac:dyDescent="0.25">
      <c r="A44" s="27"/>
      <c r="B44" s="11" t="str">
        <f>CONCATENATE("          ", "6156", " - ", "EMPLOYEE MEALS")</f>
        <v xml:space="preserve">          6156 - EMPLOYEE MEALS</v>
      </c>
      <c r="C44" s="11"/>
      <c r="D44" s="7">
        <v>277.39</v>
      </c>
      <c r="E44" s="2"/>
      <c r="F44" s="6">
        <f t="shared" si="12"/>
        <v>2.1834884382323245E-3</v>
      </c>
      <c r="G44" s="2"/>
      <c r="H44" s="7">
        <v>350</v>
      </c>
      <c r="I44" s="2"/>
      <c r="J44" s="6">
        <f t="shared" si="13"/>
        <v>3.1913923588948664E-3</v>
      </c>
      <c r="K44" s="2"/>
      <c r="L44" s="7">
        <f t="shared" si="14"/>
        <v>-72.610000000000014</v>
      </c>
      <c r="M44" s="2"/>
      <c r="N44" s="6">
        <f t="shared" si="15"/>
        <v>-0.2074571428571429</v>
      </c>
      <c r="O44" s="11"/>
      <c r="P44" s="7">
        <v>467.75</v>
      </c>
      <c r="Q44" s="2"/>
      <c r="R44" s="6">
        <f t="shared" si="16"/>
        <v>6.3159980442888456E-4</v>
      </c>
      <c r="S44" s="2"/>
      <c r="T44" s="7">
        <v>1400</v>
      </c>
      <c r="U44" s="2"/>
      <c r="V44" s="6">
        <f t="shared" si="17"/>
        <v>1.394693192402907E-3</v>
      </c>
      <c r="W44" s="2"/>
      <c r="X44" s="7">
        <f t="shared" si="18"/>
        <v>-932.25</v>
      </c>
      <c r="Y44" s="2"/>
      <c r="Z44" s="6">
        <f t="shared" si="19"/>
        <v>-0.66589285714285718</v>
      </c>
    </row>
    <row r="45" spans="1:26" s="28" customFormat="1" outlineLevel="1" collapsed="1" x14ac:dyDescent="0.25">
      <c r="A45" s="29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12737.43</v>
      </c>
      <c r="E45" s="1"/>
      <c r="F45" s="5">
        <f t="shared" ref="F45:F55" si="20">IF(D$12=0,0,D45/D$12)</f>
        <v>0.10026327963442647</v>
      </c>
      <c r="G45" s="1"/>
      <c r="H45" s="1">
        <f>SUM(OSRRefH22_1x_0)</f>
        <v>12516.9381875</v>
      </c>
      <c r="I45" s="1"/>
      <c r="J45" s="5">
        <f t="shared" ref="J45:J55" si="21">IF(H$12=0,0,H45/H$12)</f>
        <v>0.11413274539527674</v>
      </c>
      <c r="K45" s="1"/>
      <c r="L45" s="1">
        <f t="shared" ref="L45:L55" si="22">+D45-H45</f>
        <v>220.49181250000038</v>
      </c>
      <c r="M45" s="1"/>
      <c r="N45" s="5">
        <f t="shared" ref="N45:N55" si="23">IF(H45=0,0,L45/H45)</f>
        <v>1.7615475062439295E-2</v>
      </c>
      <c r="O45" s="14"/>
      <c r="P45" s="1">
        <f>SUM(OSRRefP22_1x_0)</f>
        <v>42365.89</v>
      </c>
      <c r="Q45" s="1"/>
      <c r="R45" s="5">
        <f t="shared" ref="R45:R55" si="24">IF(P$12=0,0,P45/P$12)</f>
        <v>5.7206387682427869E-2</v>
      </c>
      <c r="S45" s="1"/>
      <c r="T45" s="1">
        <f>SUM(OSRRefT22_1x_0)</f>
        <v>46292.977475</v>
      </c>
      <c r="U45" s="1"/>
      <c r="V45" s="5">
        <f t="shared" ref="V45:V55" si="25">IF(T$12=0,0,T45/T$12)</f>
        <v>4.611750038603115E-2</v>
      </c>
      <c r="W45" s="1"/>
      <c r="X45" s="1">
        <f t="shared" ref="X45:X55" si="26">+P45-T45</f>
        <v>-3927.0874750000003</v>
      </c>
      <c r="Y45" s="1"/>
      <c r="Z45" s="5">
        <f t="shared" ref="Z45:Z55" si="27">IF(T45=0,0,X45/T45)</f>
        <v>-8.483117071311258E-2</v>
      </c>
    </row>
    <row r="46" spans="1:26" s="24" customFormat="1" hidden="1" outlineLevel="2" x14ac:dyDescent="0.25">
      <c r="A46" s="27"/>
      <c r="B46" s="11" t="str">
        <f>CONCATENATE("          ", "6001", " - ", "ADMINISTRATIVE SALARIES")</f>
        <v xml:space="preserve">          6001 - ADMINISTRATIVE SALARIES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7"/>
      <c r="B47" s="11" t="str">
        <f>CONCATENATE("          ", "6002", " - ", "STAFF SALARIES")</f>
        <v xml:space="preserve">          6002 - STAFF SALARIES</v>
      </c>
      <c r="C47" s="11"/>
      <c r="D47" s="7">
        <v>1634.62</v>
      </c>
      <c r="E47" s="2"/>
      <c r="F47" s="6">
        <f t="shared" si="20"/>
        <v>1.2866988250850146E-2</v>
      </c>
      <c r="G47" s="2"/>
      <c r="H47" s="7">
        <v>2791.5381874999998</v>
      </c>
      <c r="I47" s="2"/>
      <c r="J47" s="6">
        <f t="shared" si="21"/>
        <v>2.5453981831859214E-2</v>
      </c>
      <c r="K47" s="2"/>
      <c r="L47" s="7">
        <f t="shared" si="22"/>
        <v>-1156.9181874999999</v>
      </c>
      <c r="M47" s="2"/>
      <c r="N47" s="6">
        <f t="shared" si="23"/>
        <v>-0.41443752862864963</v>
      </c>
      <c r="O47" s="11"/>
      <c r="P47" s="7">
        <v>9036.94</v>
      </c>
      <c r="Q47" s="2"/>
      <c r="R47" s="6">
        <f t="shared" si="24"/>
        <v>1.2202521724501474E-2</v>
      </c>
      <c r="S47" s="2"/>
      <c r="T47" s="7">
        <v>10049.537474999999</v>
      </c>
      <c r="U47" s="2"/>
      <c r="V47" s="6">
        <f t="shared" si="25"/>
        <v>1.001144393084314E-2</v>
      </c>
      <c r="W47" s="2"/>
      <c r="X47" s="7">
        <f t="shared" si="26"/>
        <v>-1012.5974749999987</v>
      </c>
      <c r="Y47" s="2"/>
      <c r="Z47" s="6">
        <f t="shared" si="27"/>
        <v>-0.10076060490535151</v>
      </c>
    </row>
    <row r="48" spans="1:26" s="24" customFormat="1" hidden="1" outlineLevel="2" x14ac:dyDescent="0.25">
      <c r="A48" s="27"/>
      <c r="B48" s="11" t="str">
        <f>CONCATENATE("          ", "6003", " - ", "STAFF HOURLY-9 MONTH")</f>
        <v xml:space="preserve">          6003 - STAFF HOURLY-9 MONTH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25">
      <c r="A49" s="27"/>
      <c r="B49" s="11" t="str">
        <f>CONCATENATE("          ", "6004", " - ", "STAFF HOURLY")</f>
        <v xml:space="preserve">          6004 - STAFF HOURLY</v>
      </c>
      <c r="C49" s="11"/>
      <c r="D49" s="7">
        <v>5152.08</v>
      </c>
      <c r="E49" s="2"/>
      <c r="F49" s="6">
        <f t="shared" si="20"/>
        <v>4.0554840163120491E-2</v>
      </c>
      <c r="G49" s="2"/>
      <c r="H49" s="7">
        <v>4305.3999999999996</v>
      </c>
      <c r="I49" s="2"/>
      <c r="J49" s="6">
        <f t="shared" si="21"/>
        <v>3.9257773319959874E-2</v>
      </c>
      <c r="K49" s="2"/>
      <c r="L49" s="7">
        <f t="shared" si="22"/>
        <v>846.68000000000029</v>
      </c>
      <c r="M49" s="2"/>
      <c r="N49" s="6">
        <f t="shared" si="23"/>
        <v>0.19665536303247094</v>
      </c>
      <c r="O49" s="11"/>
      <c r="P49" s="7">
        <v>10762.11</v>
      </c>
      <c r="Q49" s="2"/>
      <c r="R49" s="6">
        <f t="shared" si="24"/>
        <v>1.4532007634937772E-2</v>
      </c>
      <c r="S49" s="2"/>
      <c r="T49" s="7">
        <v>15499.44</v>
      </c>
      <c r="U49" s="2"/>
      <c r="V49" s="6">
        <f t="shared" si="25"/>
        <v>1.5440688181469509E-2</v>
      </c>
      <c r="W49" s="2"/>
      <c r="X49" s="7">
        <f t="shared" si="26"/>
        <v>-4737.33</v>
      </c>
      <c r="Y49" s="2"/>
      <c r="Z49" s="6">
        <f t="shared" si="27"/>
        <v>-0.30564523621498579</v>
      </c>
    </row>
    <row r="50" spans="1:26" s="24" customFormat="1" hidden="1" outlineLevel="2" x14ac:dyDescent="0.25">
      <c r="A50" s="27"/>
      <c r="B50" s="11" t="str">
        <f>CONCATENATE("          ", "6005", " - ", "TEMPORARY WAGES-HOURLY")</f>
        <v xml:space="preserve">          6005 - TEMPORARY WAGES-HOURLY</v>
      </c>
      <c r="C50" s="11"/>
      <c r="D50" s="7">
        <v>2493.6</v>
      </c>
      <c r="E50" s="2"/>
      <c r="F50" s="6">
        <f t="shared" si="20"/>
        <v>1.9628489742154094E-2</v>
      </c>
      <c r="G50" s="2"/>
      <c r="H50" s="7">
        <v>0</v>
      </c>
      <c r="I50" s="2"/>
      <c r="J50" s="6">
        <f t="shared" si="21"/>
        <v>0</v>
      </c>
      <c r="K50" s="2"/>
      <c r="L50" s="7">
        <f t="shared" si="22"/>
        <v>2493.6</v>
      </c>
      <c r="M50" s="2"/>
      <c r="N50" s="6">
        <f t="shared" si="23"/>
        <v>0</v>
      </c>
      <c r="O50" s="11"/>
      <c r="P50" s="7">
        <v>3918.88</v>
      </c>
      <c r="Q50" s="2"/>
      <c r="R50" s="6">
        <f t="shared" si="24"/>
        <v>5.2916383571999298E-3</v>
      </c>
      <c r="S50" s="2"/>
      <c r="T50" s="7">
        <v>0</v>
      </c>
      <c r="U50" s="2"/>
      <c r="V50" s="6">
        <f t="shared" si="25"/>
        <v>0</v>
      </c>
      <c r="W50" s="2"/>
      <c r="X50" s="7">
        <f t="shared" si="26"/>
        <v>3918.88</v>
      </c>
      <c r="Y50" s="2"/>
      <c r="Z50" s="6">
        <f t="shared" si="27"/>
        <v>0</v>
      </c>
    </row>
    <row r="51" spans="1:26" s="24" customFormat="1" hidden="1" outlineLevel="2" x14ac:dyDescent="0.25">
      <c r="A51" s="27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4" customFormat="1" hidden="1" outlineLevel="2" x14ac:dyDescent="0.25">
      <c r="A52" s="27"/>
      <c r="B52" s="11" t="str">
        <f>CONCATENATE("          ", "6007", " - ", "STUDENT HOURLY")</f>
        <v xml:space="preserve">          6007 - STUDENT HOURLY</v>
      </c>
      <c r="C52" s="11"/>
      <c r="D52" s="7">
        <v>1733.5</v>
      </c>
      <c r="E52" s="2"/>
      <c r="F52" s="6">
        <f t="shared" si="20"/>
        <v>1.3645326823878779E-2</v>
      </c>
      <c r="G52" s="2"/>
      <c r="H52" s="7">
        <v>0</v>
      </c>
      <c r="I52" s="2"/>
      <c r="J52" s="6">
        <f t="shared" si="21"/>
        <v>0</v>
      </c>
      <c r="K52" s="2"/>
      <c r="L52" s="7">
        <f t="shared" si="22"/>
        <v>1733.5</v>
      </c>
      <c r="M52" s="2"/>
      <c r="N52" s="6">
        <f t="shared" si="23"/>
        <v>0</v>
      </c>
      <c r="O52" s="11"/>
      <c r="P52" s="7">
        <v>14630.26</v>
      </c>
      <c r="Q52" s="2"/>
      <c r="R52" s="6">
        <f t="shared" si="24"/>
        <v>1.9755145600734863E-2</v>
      </c>
      <c r="S52" s="2"/>
      <c r="T52" s="7">
        <v>10176</v>
      </c>
      <c r="U52" s="2"/>
      <c r="V52" s="6">
        <f t="shared" si="25"/>
        <v>1.0137427089922844E-2</v>
      </c>
      <c r="W52" s="2"/>
      <c r="X52" s="7">
        <f t="shared" si="26"/>
        <v>4454.26</v>
      </c>
      <c r="Y52" s="2"/>
      <c r="Z52" s="6">
        <f t="shared" si="27"/>
        <v>0.43772209119496858</v>
      </c>
    </row>
    <row r="53" spans="1:26" s="24" customFormat="1" hidden="1" outlineLevel="2" x14ac:dyDescent="0.25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7">
        <v>1723.63</v>
      </c>
      <c r="E53" s="2"/>
      <c r="F53" s="6">
        <f t="shared" si="20"/>
        <v>1.3567634654422948E-2</v>
      </c>
      <c r="G53" s="2"/>
      <c r="H53" s="7">
        <v>5420</v>
      </c>
      <c r="I53" s="2"/>
      <c r="J53" s="6">
        <f t="shared" si="21"/>
        <v>4.9420990243457648E-2</v>
      </c>
      <c r="K53" s="2"/>
      <c r="L53" s="7">
        <f t="shared" si="22"/>
        <v>-3696.37</v>
      </c>
      <c r="M53" s="2"/>
      <c r="N53" s="6">
        <f t="shared" si="23"/>
        <v>-0.68198708487084869</v>
      </c>
      <c r="O53" s="11"/>
      <c r="P53" s="7">
        <v>4017.7</v>
      </c>
      <c r="Q53" s="2"/>
      <c r="R53" s="6">
        <f t="shared" si="24"/>
        <v>5.4250743650538303E-3</v>
      </c>
      <c r="S53" s="2"/>
      <c r="T53" s="7">
        <v>10568</v>
      </c>
      <c r="U53" s="2"/>
      <c r="V53" s="6">
        <f t="shared" si="25"/>
        <v>1.0527941183795658E-2</v>
      </c>
      <c r="W53" s="2"/>
      <c r="X53" s="7">
        <f t="shared" si="26"/>
        <v>-6550.3</v>
      </c>
      <c r="Y53" s="2"/>
      <c r="Z53" s="6">
        <f t="shared" si="27"/>
        <v>-0.61982399697199098</v>
      </c>
    </row>
    <row r="54" spans="1:26" s="24" customFormat="1" hidden="1" outlineLevel="2" x14ac:dyDescent="0.25">
      <c r="A54" s="27"/>
      <c r="B54" s="11" t="str">
        <f>CONCATENATE("          ", "6009", " - ", "TEMPORARY-SEASONAL")</f>
        <v xml:space="preserve">          6009 - TEMPORARY-SEASONAL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25">
      <c r="A55" s="27"/>
      <c r="B55" s="11" t="str">
        <f>CONCATENATE("          ", "6010", " - ", "GRATUITY")</f>
        <v xml:space="preserve">          6010 - GRATUITY</v>
      </c>
      <c r="C55" s="11"/>
      <c r="D55" s="7"/>
      <c r="E55" s="2"/>
      <c r="F55" s="6">
        <f t="shared" si="20"/>
        <v>0</v>
      </c>
      <c r="G55" s="2"/>
      <c r="H55" s="7">
        <v>0</v>
      </c>
      <c r="I55" s="2"/>
      <c r="J55" s="6">
        <f t="shared" si="21"/>
        <v>0</v>
      </c>
      <c r="K55" s="2"/>
      <c r="L55" s="7">
        <f t="shared" si="22"/>
        <v>0</v>
      </c>
      <c r="M55" s="2"/>
      <c r="N55" s="6">
        <f t="shared" si="23"/>
        <v>0</v>
      </c>
      <c r="O55" s="11"/>
      <c r="P55" s="7"/>
      <c r="Q55" s="2"/>
      <c r="R55" s="6">
        <f t="shared" si="24"/>
        <v>0</v>
      </c>
      <c r="S55" s="2"/>
      <c r="T55" s="7">
        <v>0</v>
      </c>
      <c r="U55" s="2"/>
      <c r="V55" s="6">
        <f t="shared" si="25"/>
        <v>0</v>
      </c>
      <c r="W55" s="2"/>
      <c r="X55" s="7">
        <f t="shared" si="26"/>
        <v>0</v>
      </c>
      <c r="Y55" s="2"/>
      <c r="Z55" s="6">
        <f t="shared" si="27"/>
        <v>0</v>
      </c>
    </row>
    <row r="56" spans="1:26" s="28" customFormat="1" outlineLevel="1" collapsed="1" x14ac:dyDescent="0.25">
      <c r="A56" s="29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6.62</v>
      </c>
      <c r="E56" s="1"/>
      <c r="F56" s="5">
        <f t="shared" ref="F56:F70" si="28">IF(D$12=0,0,D56/D$12)</f>
        <v>5.2109641519513996E-5</v>
      </c>
      <c r="G56" s="1"/>
      <c r="H56" s="1">
        <f>SUM(OSRRefH22_2x_0)</f>
        <v>200</v>
      </c>
      <c r="I56" s="1"/>
      <c r="J56" s="5">
        <f t="shared" ref="J56:J70" si="29">IF(H$12=0,0,H56/H$12)</f>
        <v>1.8236527765113522E-3</v>
      </c>
      <c r="K56" s="1"/>
      <c r="L56" s="1">
        <f t="shared" ref="L56:L70" si="30">+D56-H56</f>
        <v>-193.38</v>
      </c>
      <c r="M56" s="1"/>
      <c r="N56" s="5">
        <f t="shared" ref="N56:N70" si="31">IF(H56=0,0,L56/H56)</f>
        <v>-0.96689999999999998</v>
      </c>
      <c r="O56" s="14"/>
      <c r="P56" s="1">
        <f>SUM(OSRRefP22_2x_0)</f>
        <v>111.51</v>
      </c>
      <c r="Q56" s="1"/>
      <c r="R56" s="5">
        <f t="shared" ref="R56:R70" si="32">IF(P$12=0,0,P56/P$12)</f>
        <v>1.5057123290617834E-4</v>
      </c>
      <c r="S56" s="1"/>
      <c r="T56" s="1">
        <f>SUM(OSRRefT22_2x_0)</f>
        <v>800</v>
      </c>
      <c r="U56" s="1"/>
      <c r="V56" s="5">
        <f t="shared" ref="V56:V70" si="33">IF(T$12=0,0,T56/T$12)</f>
        <v>7.9696753851594678E-4</v>
      </c>
      <c r="W56" s="1"/>
      <c r="X56" s="1">
        <f t="shared" ref="X56:X70" si="34">+P56-T56</f>
        <v>-688.49</v>
      </c>
      <c r="Y56" s="1"/>
      <c r="Z56" s="5">
        <f t="shared" ref="Z56:Z70" si="35">IF(T56=0,0,X56/T56)</f>
        <v>-0.8606125</v>
      </c>
    </row>
    <row r="57" spans="1:26" s="24" customFormat="1" hidden="1" outlineLevel="2" x14ac:dyDescent="0.25">
      <c r="A57" s="27"/>
      <c r="B57" s="11" t="str">
        <f>CONCATENATE("          ", "6362", " - ", "ADVERTISING EXPENSE")</f>
        <v xml:space="preserve">          6362 - ADVERTISING EXPENSE</v>
      </c>
      <c r="C57" s="11"/>
      <c r="D57" s="7">
        <v>6.62</v>
      </c>
      <c r="E57" s="2"/>
      <c r="F57" s="6">
        <f t="shared" si="28"/>
        <v>5.2109641519513996E-5</v>
      </c>
      <c r="G57" s="2"/>
      <c r="H57" s="7">
        <v>200</v>
      </c>
      <c r="I57" s="2"/>
      <c r="J57" s="6">
        <f t="shared" si="29"/>
        <v>1.8236527765113522E-3</v>
      </c>
      <c r="K57" s="2"/>
      <c r="L57" s="7">
        <f t="shared" si="30"/>
        <v>-193.38</v>
      </c>
      <c r="M57" s="2"/>
      <c r="N57" s="6">
        <f t="shared" si="31"/>
        <v>-0.96689999999999998</v>
      </c>
      <c r="O57" s="11"/>
      <c r="P57" s="7">
        <v>111.51</v>
      </c>
      <c r="Q57" s="2"/>
      <c r="R57" s="6">
        <f t="shared" si="32"/>
        <v>1.5057123290617834E-4</v>
      </c>
      <c r="S57" s="2"/>
      <c r="T57" s="7">
        <v>800</v>
      </c>
      <c r="U57" s="2"/>
      <c r="V57" s="6">
        <f t="shared" si="33"/>
        <v>7.9696753851594678E-4</v>
      </c>
      <c r="W57" s="2"/>
      <c r="X57" s="7">
        <f t="shared" si="34"/>
        <v>-688.49</v>
      </c>
      <c r="Y57" s="2"/>
      <c r="Z57" s="6">
        <f t="shared" si="35"/>
        <v>-0.8606125</v>
      </c>
    </row>
    <row r="58" spans="1:26" s="28" customFormat="1" outlineLevel="1" collapsed="1" x14ac:dyDescent="0.25">
      <c r="A58" s="29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SUM(OSRRefD22_3x_0)</f>
        <v>280.44</v>
      </c>
      <c r="E58" s="1"/>
      <c r="F58" s="5">
        <f t="shared" si="28"/>
        <v>2.2074966567571762E-3</v>
      </c>
      <c r="G58" s="1"/>
      <c r="H58" s="1">
        <f>SUM(OSRRefH22_3x_0)</f>
        <v>0</v>
      </c>
      <c r="I58" s="1"/>
      <c r="J58" s="5">
        <f t="shared" si="29"/>
        <v>0</v>
      </c>
      <c r="K58" s="1"/>
      <c r="L58" s="1">
        <f t="shared" si="30"/>
        <v>280.44</v>
      </c>
      <c r="M58" s="1"/>
      <c r="N58" s="5">
        <f t="shared" si="31"/>
        <v>0</v>
      </c>
      <c r="O58" s="14"/>
      <c r="P58" s="1">
        <f>SUM(OSRRefP22_3x_0)</f>
        <v>1121.76</v>
      </c>
      <c r="Q58" s="1"/>
      <c r="R58" s="5">
        <f t="shared" si="32"/>
        <v>1.5147052840537585E-3</v>
      </c>
      <c r="S58" s="1"/>
      <c r="T58" s="1">
        <f>SUM(OSRRefT22_3x_0)</f>
        <v>0</v>
      </c>
      <c r="U58" s="1"/>
      <c r="V58" s="5">
        <f t="shared" si="33"/>
        <v>0</v>
      </c>
      <c r="W58" s="1"/>
      <c r="X58" s="1">
        <f t="shared" si="34"/>
        <v>1121.76</v>
      </c>
      <c r="Y58" s="1"/>
      <c r="Z58" s="5">
        <f t="shared" si="35"/>
        <v>0</v>
      </c>
    </row>
    <row r="59" spans="1:26" s="24" customFormat="1" hidden="1" outlineLevel="2" x14ac:dyDescent="0.25">
      <c r="A59" s="27"/>
      <c r="B59" s="11" t="str">
        <f>CONCATENATE("          ", "6322", " - ", "EQUIPMENT DEPRECIATION EXPENSE")</f>
        <v xml:space="preserve">          6322 - EQUIPMENT DEPRECIATION EXPENSE</v>
      </c>
      <c r="C59" s="11"/>
      <c r="D59" s="7">
        <v>280.44</v>
      </c>
      <c r="E59" s="2"/>
      <c r="F59" s="6">
        <f t="shared" si="28"/>
        <v>2.2074966567571762E-3</v>
      </c>
      <c r="G59" s="2"/>
      <c r="H59" s="7"/>
      <c r="I59" s="2"/>
      <c r="J59" s="6">
        <f t="shared" si="29"/>
        <v>0</v>
      </c>
      <c r="K59" s="2"/>
      <c r="L59" s="7">
        <f t="shared" si="30"/>
        <v>280.44</v>
      </c>
      <c r="M59" s="2"/>
      <c r="N59" s="6">
        <f t="shared" si="31"/>
        <v>0</v>
      </c>
      <c r="O59" s="11"/>
      <c r="P59" s="7">
        <v>1121.76</v>
      </c>
      <c r="Q59" s="2"/>
      <c r="R59" s="6">
        <f t="shared" si="32"/>
        <v>1.5147052840537585E-3</v>
      </c>
      <c r="S59" s="2"/>
      <c r="T59" s="7"/>
      <c r="U59" s="2"/>
      <c r="V59" s="6">
        <f t="shared" si="33"/>
        <v>0</v>
      </c>
      <c r="W59" s="2"/>
      <c r="X59" s="7">
        <f t="shared" si="34"/>
        <v>1121.76</v>
      </c>
      <c r="Y59" s="2"/>
      <c r="Z59" s="6">
        <f t="shared" si="35"/>
        <v>0</v>
      </c>
    </row>
    <row r="60" spans="1:26" s="28" customFormat="1" outlineLevel="1" collapsed="1" x14ac:dyDescent="0.25">
      <c r="A60" s="29"/>
      <c r="B60" s="14" t="str">
        <f>CONCATENATE("     ","Employees' Appreciation                           ")</f>
        <v xml:space="preserve">     Employees' Appreciation                           </v>
      </c>
      <c r="C60" s="14"/>
      <c r="D60" s="1">
        <f>SUM(OSRRefD22_4x_0)</f>
        <v>0</v>
      </c>
      <c r="E60" s="1"/>
      <c r="F60" s="5">
        <f t="shared" si="28"/>
        <v>0</v>
      </c>
      <c r="G60" s="1"/>
      <c r="H60" s="1">
        <f>SUM(OSRRefH22_4x_0)</f>
        <v>20</v>
      </c>
      <c r="I60" s="1"/>
      <c r="J60" s="5">
        <f t="shared" si="29"/>
        <v>1.8236527765113522E-4</v>
      </c>
      <c r="K60" s="1"/>
      <c r="L60" s="1">
        <f t="shared" si="30"/>
        <v>-20</v>
      </c>
      <c r="M60" s="1"/>
      <c r="N60" s="5">
        <f t="shared" si="31"/>
        <v>-1</v>
      </c>
      <c r="O60" s="14"/>
      <c r="P60" s="1">
        <f>SUM(OSRRefP22_4x_0)</f>
        <v>0</v>
      </c>
      <c r="Q60" s="1"/>
      <c r="R60" s="5">
        <f t="shared" si="32"/>
        <v>0</v>
      </c>
      <c r="S60" s="1"/>
      <c r="T60" s="1">
        <f>SUM(OSRRefT22_4x_0)</f>
        <v>80</v>
      </c>
      <c r="U60" s="1"/>
      <c r="V60" s="5">
        <f t="shared" si="33"/>
        <v>7.9696753851594678E-5</v>
      </c>
      <c r="W60" s="1"/>
      <c r="X60" s="1">
        <f t="shared" si="34"/>
        <v>-80</v>
      </c>
      <c r="Y60" s="1"/>
      <c r="Z60" s="5">
        <f t="shared" si="35"/>
        <v>-1</v>
      </c>
    </row>
    <row r="61" spans="1:26" s="24" customFormat="1" hidden="1" outlineLevel="2" x14ac:dyDescent="0.25">
      <c r="A61" s="27"/>
      <c r="B61" s="11" t="str">
        <f>CONCATENATE("          ", "6277", " - ", "EMPLOYEE APPRECIATION")</f>
        <v xml:space="preserve">          6277 - EMPLOYEE APPRECIATION</v>
      </c>
      <c r="C61" s="11"/>
      <c r="D61" s="7"/>
      <c r="E61" s="2"/>
      <c r="F61" s="6">
        <f t="shared" si="28"/>
        <v>0</v>
      </c>
      <c r="G61" s="2"/>
      <c r="H61" s="7">
        <v>20</v>
      </c>
      <c r="I61" s="2"/>
      <c r="J61" s="6">
        <f t="shared" si="29"/>
        <v>1.8236527765113522E-4</v>
      </c>
      <c r="K61" s="2"/>
      <c r="L61" s="7">
        <f t="shared" si="30"/>
        <v>-20</v>
      </c>
      <c r="M61" s="2"/>
      <c r="N61" s="6">
        <f t="shared" si="31"/>
        <v>-1</v>
      </c>
      <c r="O61" s="11"/>
      <c r="P61" s="7"/>
      <c r="Q61" s="2"/>
      <c r="R61" s="6">
        <f t="shared" si="32"/>
        <v>0</v>
      </c>
      <c r="S61" s="2"/>
      <c r="T61" s="7">
        <v>80</v>
      </c>
      <c r="U61" s="2"/>
      <c r="V61" s="6">
        <f t="shared" si="33"/>
        <v>7.9696753851594678E-5</v>
      </c>
      <c r="W61" s="2"/>
      <c r="X61" s="7">
        <f t="shared" si="34"/>
        <v>-80</v>
      </c>
      <c r="Y61" s="2"/>
      <c r="Z61" s="6">
        <f t="shared" si="35"/>
        <v>-1</v>
      </c>
    </row>
    <row r="62" spans="1:26" s="28" customFormat="1" outlineLevel="1" collapsed="1" x14ac:dyDescent="0.25">
      <c r="A62" s="29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SUM(OSRRefD22_5x_0)</f>
        <v>5.42</v>
      </c>
      <c r="E62" s="1"/>
      <c r="F62" s="5">
        <f t="shared" si="28"/>
        <v>4.2663785050719922E-5</v>
      </c>
      <c r="G62" s="1"/>
      <c r="H62" s="1">
        <f>SUM(OSRRefH22_5x_0)</f>
        <v>15</v>
      </c>
      <c r="I62" s="1"/>
      <c r="J62" s="5">
        <f t="shared" si="29"/>
        <v>1.3677395823835141E-4</v>
      </c>
      <c r="K62" s="1"/>
      <c r="L62" s="1">
        <f t="shared" si="30"/>
        <v>-9.58</v>
      </c>
      <c r="M62" s="1"/>
      <c r="N62" s="5">
        <f t="shared" si="31"/>
        <v>-0.63866666666666672</v>
      </c>
      <c r="O62" s="14"/>
      <c r="P62" s="1">
        <f>SUM(OSRRefP22_5x_0)</f>
        <v>121.79</v>
      </c>
      <c r="Q62" s="1"/>
      <c r="R62" s="5">
        <f t="shared" si="32"/>
        <v>1.6445225052141925E-4</v>
      </c>
      <c r="S62" s="1"/>
      <c r="T62" s="1">
        <f>SUM(OSRRefT22_5x_0)</f>
        <v>60</v>
      </c>
      <c r="U62" s="1"/>
      <c r="V62" s="5">
        <f t="shared" si="33"/>
        <v>5.9772565388696015E-5</v>
      </c>
      <c r="W62" s="1"/>
      <c r="X62" s="1">
        <f t="shared" si="34"/>
        <v>61.790000000000006</v>
      </c>
      <c r="Y62" s="1"/>
      <c r="Z62" s="5">
        <f t="shared" si="35"/>
        <v>1.0298333333333334</v>
      </c>
    </row>
    <row r="63" spans="1:26" s="24" customFormat="1" hidden="1" outlineLevel="2" x14ac:dyDescent="0.25">
      <c r="A63" s="27"/>
      <c r="B63" s="11" t="str">
        <f>CONCATENATE("          ", "6305", " - ", "FREIGHT OUT")</f>
        <v xml:space="preserve">          6305 - FREIGHT OUT</v>
      </c>
      <c r="C63" s="11"/>
      <c r="D63" s="7">
        <v>5.42</v>
      </c>
      <c r="E63" s="2"/>
      <c r="F63" s="6">
        <f t="shared" si="28"/>
        <v>4.2663785050719922E-5</v>
      </c>
      <c r="G63" s="2"/>
      <c r="H63" s="7">
        <v>15</v>
      </c>
      <c r="I63" s="2"/>
      <c r="J63" s="6">
        <f t="shared" si="29"/>
        <v>1.3677395823835141E-4</v>
      </c>
      <c r="K63" s="2"/>
      <c r="L63" s="7">
        <f t="shared" si="30"/>
        <v>-9.58</v>
      </c>
      <c r="M63" s="2"/>
      <c r="N63" s="6">
        <f t="shared" si="31"/>
        <v>-0.63866666666666672</v>
      </c>
      <c r="O63" s="11"/>
      <c r="P63" s="7">
        <v>121.79</v>
      </c>
      <c r="Q63" s="2"/>
      <c r="R63" s="6">
        <f t="shared" si="32"/>
        <v>1.6445225052141925E-4</v>
      </c>
      <c r="S63" s="2"/>
      <c r="T63" s="7">
        <v>60</v>
      </c>
      <c r="U63" s="2"/>
      <c r="V63" s="6">
        <f t="shared" si="33"/>
        <v>5.9772565388696015E-5</v>
      </c>
      <c r="W63" s="2"/>
      <c r="X63" s="7">
        <f t="shared" si="34"/>
        <v>61.790000000000006</v>
      </c>
      <c r="Y63" s="2"/>
      <c r="Z63" s="6">
        <f t="shared" si="35"/>
        <v>1.0298333333333334</v>
      </c>
    </row>
    <row r="64" spans="1:26" s="28" customFormat="1" outlineLevel="1" collapsed="1" x14ac:dyDescent="0.25">
      <c r="A64" s="29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SUM(OSRRefD22_6x_0)</f>
        <v>0</v>
      </c>
      <c r="E64" s="1"/>
      <c r="F64" s="5">
        <f t="shared" si="28"/>
        <v>0</v>
      </c>
      <c r="G64" s="1"/>
      <c r="H64" s="1">
        <f>SUM(OSRRefH22_6x_0)</f>
        <v>30</v>
      </c>
      <c r="I64" s="1"/>
      <c r="J64" s="5">
        <f t="shared" si="29"/>
        <v>2.7354791647670281E-4</v>
      </c>
      <c r="K64" s="1"/>
      <c r="L64" s="1">
        <f t="shared" si="30"/>
        <v>-30</v>
      </c>
      <c r="M64" s="1"/>
      <c r="N64" s="5">
        <f t="shared" si="31"/>
        <v>-1</v>
      </c>
      <c r="O64" s="14"/>
      <c r="P64" s="1">
        <f>SUM(OSRRefP22_6x_0)</f>
        <v>0</v>
      </c>
      <c r="Q64" s="1"/>
      <c r="R64" s="5">
        <f t="shared" si="32"/>
        <v>0</v>
      </c>
      <c r="S64" s="1"/>
      <c r="T64" s="1">
        <f>SUM(OSRRefT22_6x_0)</f>
        <v>120</v>
      </c>
      <c r="U64" s="1"/>
      <c r="V64" s="5">
        <f t="shared" si="33"/>
        <v>1.1954513077739203E-4</v>
      </c>
      <c r="W64" s="1"/>
      <c r="X64" s="1">
        <f t="shared" si="34"/>
        <v>-120</v>
      </c>
      <c r="Y64" s="1"/>
      <c r="Z64" s="5">
        <f t="shared" si="35"/>
        <v>-1</v>
      </c>
    </row>
    <row r="65" spans="1:26" s="24" customFormat="1" hidden="1" outlineLevel="2" x14ac:dyDescent="0.25">
      <c r="A65" s="27"/>
      <c r="B65" s="11" t="str">
        <f>CONCATENATE("          ", "6279", " - ", "GENERAL EXPENSE")</f>
        <v xml:space="preserve">          6279 - GENERAL EXPENSE</v>
      </c>
      <c r="C65" s="11"/>
      <c r="D65" s="7"/>
      <c r="E65" s="2"/>
      <c r="F65" s="6">
        <f t="shared" si="28"/>
        <v>0</v>
      </c>
      <c r="G65" s="2"/>
      <c r="H65" s="7">
        <v>30</v>
      </c>
      <c r="I65" s="2"/>
      <c r="J65" s="6">
        <f t="shared" si="29"/>
        <v>2.7354791647670281E-4</v>
      </c>
      <c r="K65" s="2"/>
      <c r="L65" s="7">
        <f t="shared" si="30"/>
        <v>-30</v>
      </c>
      <c r="M65" s="2"/>
      <c r="N65" s="6">
        <f t="shared" si="31"/>
        <v>-1</v>
      </c>
      <c r="O65" s="11"/>
      <c r="P65" s="7"/>
      <c r="Q65" s="2"/>
      <c r="R65" s="6">
        <f t="shared" si="32"/>
        <v>0</v>
      </c>
      <c r="S65" s="2"/>
      <c r="T65" s="7">
        <v>120</v>
      </c>
      <c r="U65" s="2"/>
      <c r="V65" s="6">
        <f t="shared" si="33"/>
        <v>1.1954513077739203E-4</v>
      </c>
      <c r="W65" s="2"/>
      <c r="X65" s="7">
        <f t="shared" si="34"/>
        <v>-120</v>
      </c>
      <c r="Y65" s="2"/>
      <c r="Z65" s="6">
        <f t="shared" si="35"/>
        <v>-1</v>
      </c>
    </row>
    <row r="66" spans="1:26" s="28" customFormat="1" outlineLevel="1" collapsed="1" x14ac:dyDescent="0.25">
      <c r="A66" s="29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SUM(OSRRefD22_7x_0)</f>
        <v>590</v>
      </c>
      <c r="E66" s="1"/>
      <c r="F66" s="5">
        <f t="shared" si="28"/>
        <v>4.6442127638237551E-3</v>
      </c>
      <c r="G66" s="1"/>
      <c r="H66" s="1">
        <f>SUM(OSRRefH22_7x_0)</f>
        <v>590</v>
      </c>
      <c r="I66" s="1"/>
      <c r="J66" s="5">
        <f t="shared" si="29"/>
        <v>5.3797756907084894E-3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SUM(OSRRefP22_7x_0)</f>
        <v>4670</v>
      </c>
      <c r="Q66" s="1"/>
      <c r="R66" s="5">
        <f t="shared" si="32"/>
        <v>6.3058708427213058E-3</v>
      </c>
      <c r="S66" s="1"/>
      <c r="T66" s="1">
        <f>SUM(OSRRefT22_7x_0)</f>
        <v>5380</v>
      </c>
      <c r="U66" s="1"/>
      <c r="V66" s="5">
        <f t="shared" si="33"/>
        <v>5.3596066965197423E-3</v>
      </c>
      <c r="W66" s="1"/>
      <c r="X66" s="1">
        <f t="shared" si="34"/>
        <v>-710</v>
      </c>
      <c r="Y66" s="1"/>
      <c r="Z66" s="5">
        <f t="shared" si="35"/>
        <v>-0.13197026022304834</v>
      </c>
    </row>
    <row r="67" spans="1:26" s="24" customFormat="1" hidden="1" outlineLevel="2" x14ac:dyDescent="0.25">
      <c r="A67" s="27"/>
      <c r="B67" s="11" t="str">
        <f>CONCATENATE("          ", "6408", " - ", "INVENTORY ADJUSTMENT")</f>
        <v xml:space="preserve">          6408 - INVENTORY ADJUSTMENT</v>
      </c>
      <c r="C67" s="11"/>
      <c r="D67" s="7">
        <v>590</v>
      </c>
      <c r="E67" s="2"/>
      <c r="F67" s="6">
        <f t="shared" si="28"/>
        <v>4.6442127638237551E-3</v>
      </c>
      <c r="G67" s="2"/>
      <c r="H67" s="7">
        <v>590</v>
      </c>
      <c r="I67" s="2"/>
      <c r="J67" s="6">
        <f t="shared" si="29"/>
        <v>5.3797756907084894E-3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>
        <v>4670</v>
      </c>
      <c r="Q67" s="2"/>
      <c r="R67" s="6">
        <f t="shared" si="32"/>
        <v>6.3058708427213058E-3</v>
      </c>
      <c r="S67" s="2"/>
      <c r="T67" s="7">
        <v>5380</v>
      </c>
      <c r="U67" s="2"/>
      <c r="V67" s="6">
        <f t="shared" si="33"/>
        <v>5.3596066965197423E-3</v>
      </c>
      <c r="W67" s="2"/>
      <c r="X67" s="7">
        <f t="shared" si="34"/>
        <v>-710</v>
      </c>
      <c r="Y67" s="2"/>
      <c r="Z67" s="6">
        <f t="shared" si="35"/>
        <v>-0.13197026022304834</v>
      </c>
    </row>
    <row r="68" spans="1:26" s="28" customFormat="1" outlineLevel="1" collapsed="1" x14ac:dyDescent="0.25">
      <c r="A68" s="29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SUM(OSRRefD22_8x_0)</f>
        <v>159.5</v>
      </c>
      <c r="E68" s="1"/>
      <c r="F68" s="5">
        <f t="shared" si="28"/>
        <v>1.2555117556438795E-3</v>
      </c>
      <c r="G68" s="1"/>
      <c r="H68" s="1">
        <f>SUM(OSRRefH22_8x_0)</f>
        <v>310</v>
      </c>
      <c r="I68" s="1"/>
      <c r="J68" s="5">
        <f t="shared" si="29"/>
        <v>2.826661803592596E-3</v>
      </c>
      <c r="K68" s="1"/>
      <c r="L68" s="1">
        <f t="shared" si="30"/>
        <v>-150.5</v>
      </c>
      <c r="M68" s="1"/>
      <c r="N68" s="5">
        <f t="shared" si="31"/>
        <v>-0.48548387096774193</v>
      </c>
      <c r="O68" s="14"/>
      <c r="P68" s="1">
        <f>SUM(OSRRefP22_8x_0)</f>
        <v>3218.69</v>
      </c>
      <c r="Q68" s="1"/>
      <c r="R68" s="5">
        <f t="shared" si="32"/>
        <v>4.3461763217898589E-3</v>
      </c>
      <c r="S68" s="1"/>
      <c r="T68" s="1">
        <f>SUM(OSRRefT22_8x_0)</f>
        <v>1240</v>
      </c>
      <c r="U68" s="1"/>
      <c r="V68" s="5">
        <f t="shared" si="33"/>
        <v>1.2352996846997175E-3</v>
      </c>
      <c r="W68" s="1"/>
      <c r="X68" s="1">
        <f t="shared" si="34"/>
        <v>1978.69</v>
      </c>
      <c r="Y68" s="1"/>
      <c r="Z68" s="5">
        <f t="shared" si="35"/>
        <v>1.595717741935484</v>
      </c>
    </row>
    <row r="69" spans="1:26" s="24" customFormat="1" hidden="1" outlineLevel="2" x14ac:dyDescent="0.25">
      <c r="A69" s="27"/>
      <c r="B69" s="11" t="str">
        <f>CONCATENATE("          ", "6241", " - ", "OFFICE EXPENSE")</f>
        <v xml:space="preserve">          6241 - OFFICE EXPENSE</v>
      </c>
      <c r="C69" s="11"/>
      <c r="D69" s="7">
        <v>159.5</v>
      </c>
      <c r="E69" s="2"/>
      <c r="F69" s="6">
        <f t="shared" si="28"/>
        <v>1.2555117556438795E-3</v>
      </c>
      <c r="G69" s="2"/>
      <c r="H69" s="7">
        <v>110</v>
      </c>
      <c r="I69" s="2"/>
      <c r="J69" s="6">
        <f t="shared" si="29"/>
        <v>1.0030090270812437E-3</v>
      </c>
      <c r="K69" s="2"/>
      <c r="L69" s="7">
        <f t="shared" si="30"/>
        <v>49.5</v>
      </c>
      <c r="M69" s="2"/>
      <c r="N69" s="6">
        <f t="shared" si="31"/>
        <v>0.45</v>
      </c>
      <c r="O69" s="11"/>
      <c r="P69" s="7">
        <v>306.69</v>
      </c>
      <c r="Q69" s="2"/>
      <c r="R69" s="6">
        <f t="shared" si="32"/>
        <v>4.141215264998281E-4</v>
      </c>
      <c r="S69" s="2"/>
      <c r="T69" s="7">
        <v>440</v>
      </c>
      <c r="U69" s="2"/>
      <c r="V69" s="6">
        <f t="shared" si="33"/>
        <v>4.3833214618377075E-4</v>
      </c>
      <c r="W69" s="2"/>
      <c r="X69" s="7">
        <f t="shared" si="34"/>
        <v>-133.31</v>
      </c>
      <c r="Y69" s="2"/>
      <c r="Z69" s="6">
        <f t="shared" si="35"/>
        <v>-0.30297727272727271</v>
      </c>
    </row>
    <row r="70" spans="1:26" s="24" customFormat="1" hidden="1" outlineLevel="2" x14ac:dyDescent="0.25">
      <c r="A70" s="27"/>
      <c r="B70" s="11" t="str">
        <f>CONCATENATE("          ", "6247", " - ", "STORE SUPPLIES")</f>
        <v xml:space="preserve">          6247 - STORE SUPPLIES</v>
      </c>
      <c r="C70" s="11"/>
      <c r="D70" s="7"/>
      <c r="E70" s="2"/>
      <c r="F70" s="6">
        <f t="shared" si="28"/>
        <v>0</v>
      </c>
      <c r="G70" s="2"/>
      <c r="H70" s="7">
        <v>200</v>
      </c>
      <c r="I70" s="2"/>
      <c r="J70" s="6">
        <f t="shared" si="29"/>
        <v>1.8236527765113522E-3</v>
      </c>
      <c r="K70" s="2"/>
      <c r="L70" s="7">
        <f t="shared" si="30"/>
        <v>-200</v>
      </c>
      <c r="M70" s="2"/>
      <c r="N70" s="6">
        <f t="shared" si="31"/>
        <v>-1</v>
      </c>
      <c r="O70" s="11"/>
      <c r="P70" s="7">
        <v>2912</v>
      </c>
      <c r="Q70" s="2"/>
      <c r="R70" s="6">
        <f t="shared" si="32"/>
        <v>3.9320547952900308E-3</v>
      </c>
      <c r="S70" s="2"/>
      <c r="T70" s="7">
        <v>800</v>
      </c>
      <c r="U70" s="2"/>
      <c r="V70" s="6">
        <f t="shared" si="33"/>
        <v>7.9696753851594678E-4</v>
      </c>
      <c r="W70" s="2"/>
      <c r="X70" s="7">
        <f t="shared" si="34"/>
        <v>2112</v>
      </c>
      <c r="Y70" s="2"/>
      <c r="Z70" s="6">
        <f t="shared" si="35"/>
        <v>2.64</v>
      </c>
    </row>
    <row r="71" spans="1:26" s="28" customFormat="1" outlineLevel="1" collapsed="1" x14ac:dyDescent="0.25">
      <c r="A71" s="29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SUM(OSRRefD22_9x_0)</f>
        <v>203.45</v>
      </c>
      <c r="E71" s="1"/>
      <c r="F71" s="5">
        <f t="shared" ref="F71:F72" si="36">IF(D$12=0,0,D71/D$12)</f>
        <v>1.6014662488134626E-3</v>
      </c>
      <c r="G71" s="1"/>
      <c r="H71" s="1">
        <f>SUM(OSRRefH22_9x_0)</f>
        <v>325</v>
      </c>
      <c r="I71" s="1"/>
      <c r="J71" s="5">
        <f t="shared" ref="J71:J72" si="37">IF(H$12=0,0,H71/H$12)</f>
        <v>2.9634357618309472E-3</v>
      </c>
      <c r="K71" s="1"/>
      <c r="L71" s="1">
        <f t="shared" ref="L71:L72" si="38">+D71-H71</f>
        <v>-121.55000000000001</v>
      </c>
      <c r="M71" s="1"/>
      <c r="N71" s="5">
        <f t="shared" ref="N71:N72" si="39">IF(H71=0,0,L71/H71)</f>
        <v>-0.37400000000000005</v>
      </c>
      <c r="O71" s="14"/>
      <c r="P71" s="1">
        <f>SUM(OSRRefP22_9x_0)</f>
        <v>849.9</v>
      </c>
      <c r="Q71" s="1"/>
      <c r="R71" s="5">
        <f t="shared" ref="R71:R72" si="40">IF(P$12=0,0,P71/P$12)</f>
        <v>1.1476144816335841E-3</v>
      </c>
      <c r="S71" s="1"/>
      <c r="T71" s="1">
        <f>SUM(OSRRefT22_9x_0)</f>
        <v>1300</v>
      </c>
      <c r="U71" s="1"/>
      <c r="V71" s="5">
        <f t="shared" ref="V71:V72" si="41">IF(T$12=0,0,T71/T$12)</f>
        <v>1.2950722500884135E-3</v>
      </c>
      <c r="W71" s="1"/>
      <c r="X71" s="1">
        <f t="shared" ref="X71:X72" si="42">+P71-T71</f>
        <v>-450.1</v>
      </c>
      <c r="Y71" s="1"/>
      <c r="Z71" s="5">
        <f t="shared" ref="Z71:Z72" si="43">IF(T71=0,0,X71/T71)</f>
        <v>-0.34623076923076923</v>
      </c>
    </row>
    <row r="72" spans="1:26" s="24" customFormat="1" hidden="1" outlineLevel="2" x14ac:dyDescent="0.25">
      <c r="A72" s="27"/>
      <c r="B72" s="11" t="str">
        <f>CONCATENATE("          ", "6309", " - ", "TELEPHONE")</f>
        <v xml:space="preserve">          6309 - TELEPHONE</v>
      </c>
      <c r="C72" s="11"/>
      <c r="D72" s="7">
        <v>203.45</v>
      </c>
      <c r="E72" s="2"/>
      <c r="F72" s="6">
        <f t="shared" si="36"/>
        <v>1.6014662488134626E-3</v>
      </c>
      <c r="G72" s="2"/>
      <c r="H72" s="7">
        <v>325</v>
      </c>
      <c r="I72" s="2"/>
      <c r="J72" s="6">
        <f t="shared" si="37"/>
        <v>2.9634357618309472E-3</v>
      </c>
      <c r="K72" s="2"/>
      <c r="L72" s="7">
        <f t="shared" si="38"/>
        <v>-121.55000000000001</v>
      </c>
      <c r="M72" s="2"/>
      <c r="N72" s="6">
        <f t="shared" si="39"/>
        <v>-0.37400000000000005</v>
      </c>
      <c r="O72" s="11"/>
      <c r="P72" s="7">
        <v>849.9</v>
      </c>
      <c r="Q72" s="2"/>
      <c r="R72" s="6">
        <f t="shared" si="40"/>
        <v>1.1476144816335841E-3</v>
      </c>
      <c r="S72" s="2"/>
      <c r="T72" s="7">
        <v>1300</v>
      </c>
      <c r="U72" s="2"/>
      <c r="V72" s="6">
        <f t="shared" si="41"/>
        <v>1.2950722500884135E-3</v>
      </c>
      <c r="W72" s="2"/>
      <c r="X72" s="7">
        <f t="shared" si="42"/>
        <v>-450.1</v>
      </c>
      <c r="Y72" s="2"/>
      <c r="Z72" s="6">
        <f t="shared" si="43"/>
        <v>-0.34623076923076923</v>
      </c>
    </row>
    <row r="73" spans="1:26" s="60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25">
      <c r="A74" s="10"/>
      <c r="B74" s="25" t="s">
        <v>293</v>
      </c>
      <c r="C74" s="10"/>
      <c r="D74" s="4">
        <f>SUM(OSRRefD25x_0)</f>
        <v>-964.18999999999994</v>
      </c>
      <c r="E74" s="4"/>
      <c r="F74" s="12">
        <f t="shared" ref="F74:F77" si="44">IF(D$12=0,0,D74/D$12)</f>
        <v>-7.5896669572054678E-3</v>
      </c>
      <c r="G74" s="4"/>
      <c r="H74" s="4">
        <f>SUM(OSRRefH25x_0)</f>
        <v>1047</v>
      </c>
      <c r="I74" s="4"/>
      <c r="J74" s="12">
        <f t="shared" ref="J74:J77" si="45">IF(H$12=0,0,H74/H$12)</f>
        <v>9.5468222850369298E-3</v>
      </c>
      <c r="K74" s="4"/>
      <c r="L74" s="4">
        <f t="shared" ref="L74:L77" si="46">+D74-H74</f>
        <v>-2011.19</v>
      </c>
      <c r="M74" s="4"/>
      <c r="N74" s="12">
        <f t="shared" ref="N74:N77" si="47">IF(H74=0,0,L74/H74)</f>
        <v>-1.9209073543457498</v>
      </c>
      <c r="O74" s="10"/>
      <c r="P74" s="4">
        <f>SUM(OSRRefP25x_0)</f>
        <v>1807.25</v>
      </c>
      <c r="Q74" s="4"/>
      <c r="R74" s="12">
        <f t="shared" ref="R74:R77" si="48">IF(P$12=0,0,P74/P$12)</f>
        <v>2.440318004391452E-3</v>
      </c>
      <c r="S74" s="4"/>
      <c r="T74" s="4">
        <f>SUM(OSRRefT25x_0)</f>
        <v>9580</v>
      </c>
      <c r="U74" s="4"/>
      <c r="V74" s="12">
        <f t="shared" ref="V74:V77" si="49">IF(T$12=0,0,T74/T$12)</f>
        <v>9.5436862737284626E-3</v>
      </c>
      <c r="W74" s="4"/>
      <c r="X74" s="4">
        <f t="shared" ref="X74:X77" si="50">+P74-T74</f>
        <v>-7772.75</v>
      </c>
      <c r="Y74" s="4"/>
      <c r="Z74" s="12">
        <f t="shared" ref="Z74:Z77" si="51">IF(T74=0,0,X74/T74)</f>
        <v>-0.81135177453027141</v>
      </c>
    </row>
    <row r="75" spans="1:26" s="24" customFormat="1" hidden="1" outlineLevel="1" x14ac:dyDescent="0.25">
      <c r="A75" s="44"/>
      <c r="B75" s="11" t="str">
        <f>CONCATENATE("          ", "4187", " - ", "NON-TAXABLE SALES-COMPUTER REP")</f>
        <v xml:space="preserve">          4187 - NON-TAXABLE SALES-COMPUTER REP</v>
      </c>
      <c r="C75" s="11"/>
      <c r="D75" s="2">
        <f>0</f>
        <v>0</v>
      </c>
      <c r="E75" s="2"/>
      <c r="F75" s="19">
        <f t="shared" si="44"/>
        <v>0</v>
      </c>
      <c r="G75" s="2"/>
      <c r="H75" s="2"/>
      <c r="I75" s="2"/>
      <c r="J75" s="19">
        <f t="shared" si="45"/>
        <v>0</v>
      </c>
      <c r="K75" s="2"/>
      <c r="L75" s="2">
        <f t="shared" si="46"/>
        <v>0</v>
      </c>
      <c r="M75" s="2"/>
      <c r="N75" s="19">
        <f t="shared" si="47"/>
        <v>0</v>
      </c>
      <c r="O75" s="11"/>
      <c r="P75" s="2">
        <f>0</f>
        <v>0</v>
      </c>
      <c r="Q75" s="2"/>
      <c r="R75" s="19">
        <f t="shared" si="48"/>
        <v>0</v>
      </c>
      <c r="S75" s="2"/>
      <c r="T75" s="2"/>
      <c r="U75" s="2"/>
      <c r="V75" s="19">
        <f t="shared" si="49"/>
        <v>0</v>
      </c>
      <c r="W75" s="2"/>
      <c r="X75" s="2">
        <f t="shared" si="50"/>
        <v>0</v>
      </c>
      <c r="Y75" s="2"/>
      <c r="Z75" s="19">
        <f t="shared" si="51"/>
        <v>0</v>
      </c>
    </row>
    <row r="76" spans="1:26" s="24" customFormat="1" hidden="1" outlineLevel="1" x14ac:dyDescent="0.25">
      <c r="A76" s="44"/>
      <c r="B76" s="11" t="str">
        <f>CONCATENATE("          ", "9087", " - ", "")</f>
        <v xml:space="preserve">          9087 - </v>
      </c>
      <c r="C76" s="11"/>
      <c r="D76" s="2">
        <f>-830.04</f>
        <v>-830.04</v>
      </c>
      <c r="E76" s="2"/>
      <c r="F76" s="19">
        <f t="shared" si="44"/>
        <v>-6.5336989194648637E-3</v>
      </c>
      <c r="G76" s="2"/>
      <c r="H76" s="2"/>
      <c r="I76" s="2"/>
      <c r="J76" s="19">
        <f t="shared" si="45"/>
        <v>0</v>
      </c>
      <c r="K76" s="2"/>
      <c r="L76" s="2">
        <f t="shared" si="46"/>
        <v>-830.04</v>
      </c>
      <c r="M76" s="2"/>
      <c r="N76" s="19">
        <f t="shared" si="47"/>
        <v>0</v>
      </c>
      <c r="O76" s="11"/>
      <c r="P76" s="2">
        <f>-466.39</f>
        <v>-466.39</v>
      </c>
      <c r="Q76" s="2"/>
      <c r="R76" s="19">
        <f t="shared" si="48"/>
        <v>-6.2976340521130405E-4</v>
      </c>
      <c r="S76" s="2"/>
      <c r="T76" s="2"/>
      <c r="U76" s="2"/>
      <c r="V76" s="19">
        <f t="shared" si="49"/>
        <v>0</v>
      </c>
      <c r="W76" s="2"/>
      <c r="X76" s="2">
        <f t="shared" si="50"/>
        <v>-466.39</v>
      </c>
      <c r="Y76" s="2"/>
      <c r="Z76" s="19">
        <f t="shared" si="51"/>
        <v>0</v>
      </c>
    </row>
    <row r="77" spans="1:26" s="24" customFormat="1" hidden="1" outlineLevel="1" x14ac:dyDescent="0.25">
      <c r="A77" s="44"/>
      <c r="B77" s="11" t="str">
        <f>CONCATENATE("          ", "9150", " - ", "MISC. INCOME")</f>
        <v xml:space="preserve">          9150 - MISC. INCOME</v>
      </c>
      <c r="C77" s="11"/>
      <c r="D77" s="2">
        <f>-134.15</f>
        <v>-134.15</v>
      </c>
      <c r="E77" s="2"/>
      <c r="F77" s="19">
        <f t="shared" si="44"/>
        <v>-1.0559680377406047E-3</v>
      </c>
      <c r="G77" s="2"/>
      <c r="H77" s="2">
        <v>1047</v>
      </c>
      <c r="I77" s="2"/>
      <c r="J77" s="19">
        <f t="shared" si="45"/>
        <v>9.5468222850369298E-3</v>
      </c>
      <c r="K77" s="2"/>
      <c r="L77" s="2">
        <f t="shared" si="46"/>
        <v>-1181.1500000000001</v>
      </c>
      <c r="M77" s="2"/>
      <c r="N77" s="19">
        <f t="shared" si="47"/>
        <v>-1.1281279847182426</v>
      </c>
      <c r="O77" s="11"/>
      <c r="P77" s="2">
        <f>--2273.64</f>
        <v>2273.64</v>
      </c>
      <c r="Q77" s="2"/>
      <c r="R77" s="19">
        <f t="shared" si="48"/>
        <v>3.0700814096027555E-3</v>
      </c>
      <c r="S77" s="2"/>
      <c r="T77" s="2">
        <v>9580</v>
      </c>
      <c r="U77" s="2"/>
      <c r="V77" s="19">
        <f t="shared" si="49"/>
        <v>9.5436862737284626E-3</v>
      </c>
      <c r="W77" s="2"/>
      <c r="X77" s="2">
        <f t="shared" si="50"/>
        <v>-7306.3600000000006</v>
      </c>
      <c r="Y77" s="2"/>
      <c r="Z77" s="19">
        <f t="shared" si="51"/>
        <v>-0.76266805845511487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6" t="s">
        <v>277</v>
      </c>
      <c r="C79" s="26"/>
      <c r="D79" s="21">
        <f>+D31-D33+D74</f>
        <v>-18125.249999999989</v>
      </c>
      <c r="E79" s="13"/>
      <c r="F79" s="20">
        <f>IF(D$12=0,0,D79/D$12)</f>
        <v>-0.14267375830084147</v>
      </c>
      <c r="G79" s="13"/>
      <c r="H79" s="21">
        <f>+H31-H33+H74</f>
        <v>-4479.1444810875</v>
      </c>
      <c r="I79" s="13"/>
      <c r="J79" s="20">
        <f>IF(H$12=0,0,H79/H$12)</f>
        <v>-4.0842021346653601E-2</v>
      </c>
      <c r="K79" s="15"/>
      <c r="L79" s="21">
        <f>+D79-H79</f>
        <v>-13646.105518912489</v>
      </c>
      <c r="M79" s="15"/>
      <c r="N79" s="20">
        <f>IF(H79=0,0,L79/H79)</f>
        <v>3.0465874848491881</v>
      </c>
      <c r="O79" s="25"/>
      <c r="P79" s="21">
        <f>+P31-P33+P74</f>
        <v>63627.470000000103</v>
      </c>
      <c r="Q79" s="13"/>
      <c r="R79" s="20">
        <f>IF(P$12=0,0,P79/P$12)</f>
        <v>8.5915761856343739E-2</v>
      </c>
      <c r="S79" s="13"/>
      <c r="T79" s="21">
        <f>+T31-T33+T74</f>
        <v>47671.144188085003</v>
      </c>
      <c r="U79" s="13"/>
      <c r="V79" s="20">
        <f>IF(T$12=0,0,T79/T$12)</f>
        <v>4.7490443052271111E-2</v>
      </c>
      <c r="W79" s="15"/>
      <c r="X79" s="21">
        <f>+P79-T79</f>
        <v>15956.3258119151</v>
      </c>
      <c r="Y79" s="15"/>
      <c r="Z79" s="20">
        <f>IF(T79=0,0,X79/T79)</f>
        <v>0.33471665267693002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128</v>
      </c>
      <c r="C81" s="10"/>
      <c r="D81" s="4">
        <v>9663.6200000000008</v>
      </c>
      <c r="E81" s="4"/>
      <c r="F81" s="12">
        <f>IF(D$12=0,0,D81/D$12)</f>
        <v>7.6067639574139867E-2</v>
      </c>
      <c r="G81" s="4"/>
      <c r="H81" s="4">
        <v>18339</v>
      </c>
      <c r="I81" s="4"/>
      <c r="J81" s="12">
        <f>IF(H$12=0,0,H81/H$12)</f>
        <v>0.16721984134220844</v>
      </c>
      <c r="K81" s="4"/>
      <c r="L81" s="4">
        <f>+D81-H81</f>
        <v>-8675.3799999999992</v>
      </c>
      <c r="M81" s="4"/>
      <c r="N81" s="12">
        <f>IF(H81=0,0,L81/H81)</f>
        <v>-0.47305632804405906</v>
      </c>
      <c r="O81" s="10"/>
      <c r="P81" s="4">
        <v>85604.9</v>
      </c>
      <c r="Q81" s="4"/>
      <c r="R81" s="12">
        <f>IF(P$12=0,0,P81/P$12)</f>
        <v>0.11559174366254241</v>
      </c>
      <c r="S81" s="4"/>
      <c r="T81" s="4">
        <v>115429</v>
      </c>
      <c r="U81" s="4"/>
      <c r="V81" s="12">
        <f>IF(T$12=0,0,T81/T$12)</f>
        <v>0.11499145750419654</v>
      </c>
      <c r="W81" s="4"/>
      <c r="X81" s="4">
        <f>+P81-T81</f>
        <v>-29824.100000000006</v>
      </c>
      <c r="Y81" s="4"/>
      <c r="Z81" s="12">
        <f>IF(T81=0,0,X81/T81)</f>
        <v>-0.25837614464302738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126</v>
      </c>
      <c r="C83" s="26"/>
      <c r="D83" s="31">
        <f>+D79-D81</f>
        <v>-27788.869999999988</v>
      </c>
      <c r="E83" s="13"/>
      <c r="F83" s="33">
        <f>IF(D$12=0,0,D83/D$12)</f>
        <v>-0.21874139787498131</v>
      </c>
      <c r="G83" s="13"/>
      <c r="H83" s="31">
        <f>+H79-H81</f>
        <v>-22818.1444810875</v>
      </c>
      <c r="I83" s="13"/>
      <c r="J83" s="33">
        <f>IF(H$12=0,0,H83/H$12)</f>
        <v>-0.20806186268886204</v>
      </c>
      <c r="K83" s="15"/>
      <c r="L83" s="31">
        <f>D83-H83</f>
        <v>-4970.725518912488</v>
      </c>
      <c r="M83" s="15"/>
      <c r="N83" s="33">
        <f>IF(H83=0,0,L83/H83)</f>
        <v>0.21784091704005137</v>
      </c>
      <c r="O83" s="25"/>
      <c r="P83" s="31">
        <f>+P79-P81</f>
        <v>-21977.429999999891</v>
      </c>
      <c r="Q83" s="13"/>
      <c r="R83" s="33">
        <f>IF(P$12=0,0,P83/P$12)</f>
        <v>-2.9675981806198678E-2</v>
      </c>
      <c r="S83" s="13"/>
      <c r="T83" s="31">
        <f>+T79-T81</f>
        <v>-67757.855811914997</v>
      </c>
      <c r="U83" s="13"/>
      <c r="V83" s="33">
        <f>IF(T$12=0,0,T83/T$12)</f>
        <v>-6.7501014451925426E-2</v>
      </c>
      <c r="W83" s="15"/>
      <c r="X83" s="31">
        <f>P83-T83</f>
        <v>45780.425811915105</v>
      </c>
      <c r="Y83" s="15"/>
      <c r="Z83" s="33">
        <f>IF(T83=0,0,X83/T83)</f>
        <v>-0.67564749892609155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6" t="s">
        <v>294</v>
      </c>
      <c r="C86" s="26"/>
      <c r="D86" s="35">
        <f>SUM(D83:D85)</f>
        <v>-27788.869999999988</v>
      </c>
      <c r="E86" s="13"/>
      <c r="F86" s="32">
        <f>IF(D$12=0,0,D86/D$12)</f>
        <v>-0.21874139787498131</v>
      </c>
      <c r="G86" s="13"/>
      <c r="H86" s="35">
        <f>SUM(H83:H85)</f>
        <v>-22818.1444810875</v>
      </c>
      <c r="I86" s="13"/>
      <c r="J86" s="32">
        <f>IF(H$12=0,0,H86/H$12)</f>
        <v>-0.20806186268886204</v>
      </c>
      <c r="K86" s="15"/>
      <c r="L86" s="35">
        <f>+D86-H86</f>
        <v>-4970.725518912488</v>
      </c>
      <c r="M86" s="15"/>
      <c r="N86" s="32">
        <f>IF(H86=0,0,L86/H86)</f>
        <v>0.21784091704005137</v>
      </c>
      <c r="O86" s="25"/>
      <c r="P86" s="35">
        <f>SUM(P83:P85)</f>
        <v>-21977.429999999891</v>
      </c>
      <c r="Q86" s="13"/>
      <c r="R86" s="32">
        <f>IF(P$12=0,0,P86/P$12)</f>
        <v>-2.9675981806198678E-2</v>
      </c>
      <c r="S86" s="13"/>
      <c r="T86" s="35">
        <f>SUM(T83:T85)</f>
        <v>-67757.855811914997</v>
      </c>
      <c r="U86" s="13"/>
      <c r="V86" s="32">
        <f>IF(T$12=0,0,T86/T$12)</f>
        <v>-6.7501014451925426E-2</v>
      </c>
      <c r="W86" s="15"/>
      <c r="X86" s="35">
        <f>+P86-T86</f>
        <v>45780.425811915105</v>
      </c>
      <c r="Y86" s="15"/>
      <c r="Z86" s="32">
        <f>IF(T86=0,0,X86/T86)</f>
        <v>-0.67564749892609155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9">
        <v>44517.96286709491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62" t="s">
        <v>56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7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","317", " - ", "Computer Store")</f>
        <v>Department 317 - Computer Store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127039.83</v>
      </c>
      <c r="E12" s="4"/>
      <c r="F12" s="12"/>
      <c r="G12" s="4"/>
      <c r="H12" s="4">
        <f>SUM(OSRRefH13x_0)</f>
        <v>109670</v>
      </c>
      <c r="I12" s="4"/>
      <c r="J12" s="12"/>
      <c r="K12" s="4"/>
      <c r="L12" s="4">
        <f t="shared" ref="L12:L17" si="0">+D12-H12</f>
        <v>17369.830000000002</v>
      </c>
      <c r="M12" s="4"/>
      <c r="N12" s="12">
        <f t="shared" ref="N12:N17" si="1">IF(H12=0,0,L12/H12)</f>
        <v>0.15838269353515091</v>
      </c>
      <c r="O12" s="10"/>
      <c r="P12" s="4">
        <f>SUM(OSRRefP13x_0)</f>
        <v>740579.71</v>
      </c>
      <c r="Q12" s="4"/>
      <c r="R12" s="12"/>
      <c r="S12" s="4"/>
      <c r="T12" s="4">
        <f>SUM(OSRRefT13x_0)</f>
        <v>1003805</v>
      </c>
      <c r="U12" s="4"/>
      <c r="V12" s="12"/>
      <c r="W12" s="4"/>
      <c r="X12" s="4">
        <f t="shared" ref="X12:X17" si="2">+P12-T12</f>
        <v>-263225.29000000004</v>
      </c>
      <c r="Y12" s="4"/>
      <c r="Z12" s="12">
        <f t="shared" ref="Z12:Z17" si="3">IF(T12=0,0,X12/T12)</f>
        <v>-0.26222751430805785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--84581.19</f>
        <v>84581.19</v>
      </c>
      <c r="E13" s="2"/>
      <c r="F13" s="19"/>
      <c r="G13" s="2"/>
      <c r="H13" s="2">
        <v>99228</v>
      </c>
      <c r="I13" s="2"/>
      <c r="J13" s="19"/>
      <c r="K13" s="2"/>
      <c r="L13" s="2">
        <f t="shared" si="0"/>
        <v>-14646.809999999998</v>
      </c>
      <c r="M13" s="2"/>
      <c r="N13" s="19">
        <f t="shared" si="1"/>
        <v>-0.14760763091063003</v>
      </c>
      <c r="O13" s="11"/>
      <c r="P13" s="2">
        <f>--582510.51</f>
        <v>582510.51</v>
      </c>
      <c r="Q13" s="2"/>
      <c r="R13" s="19"/>
      <c r="S13" s="2"/>
      <c r="T13" s="2">
        <v>950212</v>
      </c>
      <c r="U13" s="2"/>
      <c r="V13" s="19"/>
      <c r="W13" s="2"/>
      <c r="X13" s="2">
        <f t="shared" si="2"/>
        <v>-367701.49</v>
      </c>
      <c r="Y13" s="2"/>
      <c r="Z13" s="19">
        <f t="shared" si="3"/>
        <v>-0.38696784507036325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--70707.37</f>
        <v>70707.37</v>
      </c>
      <c r="E14" s="2"/>
      <c r="F14" s="19"/>
      <c r="G14" s="2"/>
      <c r="H14" s="2">
        <v>10442</v>
      </c>
      <c r="I14" s="2"/>
      <c r="J14" s="19"/>
      <c r="K14" s="2"/>
      <c r="L14" s="2">
        <f t="shared" si="0"/>
        <v>60265.369999999995</v>
      </c>
      <c r="M14" s="2"/>
      <c r="N14" s="19">
        <f t="shared" si="1"/>
        <v>5.7714393794292276</v>
      </c>
      <c r="O14" s="11"/>
      <c r="P14" s="2">
        <f>--267181.89</f>
        <v>267181.89</v>
      </c>
      <c r="Q14" s="2"/>
      <c r="R14" s="19"/>
      <c r="S14" s="2"/>
      <c r="T14" s="2">
        <v>53593</v>
      </c>
      <c r="U14" s="2"/>
      <c r="V14" s="19"/>
      <c r="W14" s="2"/>
      <c r="X14" s="2">
        <f t="shared" si="2"/>
        <v>213588.89</v>
      </c>
      <c r="Y14" s="2"/>
      <c r="Z14" s="19">
        <f t="shared" si="3"/>
        <v>3.9853878305002524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-28193.19</f>
        <v>-28193.19</v>
      </c>
      <c r="E15" s="2"/>
      <c r="F15" s="19"/>
      <c r="G15" s="2"/>
      <c r="H15" s="2"/>
      <c r="I15" s="2"/>
      <c r="J15" s="19"/>
      <c r="K15" s="2"/>
      <c r="L15" s="2">
        <f t="shared" si="0"/>
        <v>-28193.19</v>
      </c>
      <c r="M15" s="2"/>
      <c r="N15" s="19">
        <f t="shared" si="1"/>
        <v>0</v>
      </c>
      <c r="O15" s="11"/>
      <c r="P15" s="2">
        <f>-108367.35</f>
        <v>-108367.35</v>
      </c>
      <c r="Q15" s="2"/>
      <c r="R15" s="19"/>
      <c r="S15" s="2"/>
      <c r="T15" s="2"/>
      <c r="U15" s="2"/>
      <c r="V15" s="19"/>
      <c r="W15" s="2"/>
      <c r="X15" s="2">
        <f t="shared" si="2"/>
        <v>-108367.35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"4300", " - ", "NON-TAX RETURNS")</f>
        <v xml:space="preserve">          4300 - NON-TAX RETURNS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-689.8</f>
        <v>-689.8</v>
      </c>
      <c r="Q16" s="2"/>
      <c r="R16" s="19"/>
      <c r="S16" s="2"/>
      <c r="T16" s="2"/>
      <c r="U16" s="2"/>
      <c r="V16" s="19"/>
      <c r="W16" s="2"/>
      <c r="X16" s="2">
        <f t="shared" si="2"/>
        <v>-689.8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"4500", " - ", "SALES DISCOUNT")</f>
        <v xml:space="preserve">          4500 - SALES DISCOUNT</v>
      </c>
      <c r="C17" s="11"/>
      <c r="D17" s="2">
        <f>-55.54</f>
        <v>-55.54</v>
      </c>
      <c r="E17" s="2"/>
      <c r="F17" s="19"/>
      <c r="G17" s="2"/>
      <c r="H17" s="2"/>
      <c r="I17" s="2"/>
      <c r="J17" s="19"/>
      <c r="K17" s="2"/>
      <c r="L17" s="2">
        <f t="shared" si="0"/>
        <v>-55.54</v>
      </c>
      <c r="M17" s="2"/>
      <c r="N17" s="19">
        <f t="shared" si="1"/>
        <v>0</v>
      </c>
      <c r="O17" s="11"/>
      <c r="P17" s="2">
        <f>-55.54</f>
        <v>-55.54</v>
      </c>
      <c r="Q17" s="2"/>
      <c r="R17" s="19"/>
      <c r="S17" s="2"/>
      <c r="T17" s="2"/>
      <c r="U17" s="2"/>
      <c r="V17" s="19"/>
      <c r="W17" s="2"/>
      <c r="X17" s="2">
        <f t="shared" si="2"/>
        <v>-55.54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5" t="s">
        <v>257</v>
      </c>
      <c r="C19" s="10"/>
      <c r="D19" s="4">
        <f>SUM(OSRRefD16x_0)</f>
        <v>128311.79</v>
      </c>
      <c r="E19" s="4"/>
      <c r="F19" s="12">
        <f t="shared" ref="F19:F29" si="4">IF(D$12=0,0,D19/D$12)</f>
        <v>1.0100122929950395</v>
      </c>
      <c r="G19" s="4"/>
      <c r="H19" s="4">
        <f>SUM(OSRRefH16x_0)</f>
        <v>98154</v>
      </c>
      <c r="I19" s="4"/>
      <c r="J19" s="12">
        <f t="shared" ref="J19:J29" si="5">IF(H$12=0,0,H19/H$12)</f>
        <v>0.89499407312847634</v>
      </c>
      <c r="K19" s="4"/>
      <c r="L19" s="4">
        <f t="shared" ref="L19:L29" si="6">+D19-H19</f>
        <v>30157.789999999994</v>
      </c>
      <c r="M19" s="4"/>
      <c r="N19" s="12">
        <f t="shared" ref="N19:N29" si="7">IF(H19=0,0,L19/H19)</f>
        <v>0.30724973001609707</v>
      </c>
      <c r="O19" s="10"/>
      <c r="P19" s="4">
        <f>SUM(OSRRefP16x_0)</f>
        <v>619734.33999999985</v>
      </c>
      <c r="Q19" s="4"/>
      <c r="R19" s="12">
        <f t="shared" ref="R19:R29" si="8">IF(P$12=0,0,P19/P$12)</f>
        <v>0.83682327726747996</v>
      </c>
      <c r="S19" s="4"/>
      <c r="T19" s="4">
        <f>SUM(OSRRefT16x_0)</f>
        <v>898404</v>
      </c>
      <c r="U19" s="4"/>
      <c r="V19" s="12">
        <f t="shared" ref="V19:V29" si="9">IF(T$12=0,0,T19/T$12)</f>
        <v>0.8949985305911009</v>
      </c>
      <c r="W19" s="4"/>
      <c r="X19" s="4">
        <f t="shared" ref="X19:X29" si="10">+P19-T19</f>
        <v>-278669.66000000015</v>
      </c>
      <c r="Y19" s="4"/>
      <c r="Z19" s="12">
        <f t="shared" ref="Z19:Z29" si="11">IF(T19=0,0,X19/T19)</f>
        <v>-0.31018301343270971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134649.96</v>
      </c>
      <c r="E20" s="2"/>
      <c r="F20" s="19">
        <f t="shared" si="4"/>
        <v>1.0599034964073866</v>
      </c>
      <c r="G20" s="2"/>
      <c r="H20" s="2">
        <v>98154</v>
      </c>
      <c r="I20" s="2"/>
      <c r="J20" s="19">
        <f t="shared" si="5"/>
        <v>0.89499407312847634</v>
      </c>
      <c r="K20" s="2"/>
      <c r="L20" s="2">
        <f t="shared" si="6"/>
        <v>36495.959999999992</v>
      </c>
      <c r="M20" s="2"/>
      <c r="N20" s="19">
        <f t="shared" si="7"/>
        <v>0.37182346109175368</v>
      </c>
      <c r="O20" s="11"/>
      <c r="P20" s="2">
        <v>686852.19</v>
      </c>
      <c r="Q20" s="2"/>
      <c r="R20" s="19">
        <f t="shared" si="8"/>
        <v>0.92745207669813146</v>
      </c>
      <c r="S20" s="2"/>
      <c r="T20" s="2">
        <v>898404</v>
      </c>
      <c r="U20" s="2"/>
      <c r="V20" s="19">
        <f t="shared" si="9"/>
        <v>0.8949985305911009</v>
      </c>
      <c r="W20" s="2"/>
      <c r="X20" s="2">
        <f t="shared" si="10"/>
        <v>-211551.81000000006</v>
      </c>
      <c r="Y20" s="2"/>
      <c r="Z20" s="19">
        <f t="shared" si="11"/>
        <v>-0.23547514258618624</v>
      </c>
    </row>
    <row r="21" spans="1:26" s="24" customFormat="1" hidden="1" outlineLevel="1" x14ac:dyDescent="0.25">
      <c r="A21" s="44"/>
      <c r="B21" s="11" t="str">
        <f>CONCATENATE("          ", "5081", " - ", "PURCHASES @ COST-ELECTRONICS")</f>
        <v xml:space="preserve">          5081 - PURCHASES @ COST-ELECTRONICS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"5082", " - ", "PURCHASES @ COST-COMPUTER HARD")</f>
        <v xml:space="preserve">          5082 - PURCHASES @ COST-COMPUTER HARD</v>
      </c>
      <c r="C22" s="11"/>
      <c r="D22" s="2">
        <v>-20540.88</v>
      </c>
      <c r="E22" s="2"/>
      <c r="F22" s="19">
        <f t="shared" si="4"/>
        <v>-0.16168850351893577</v>
      </c>
      <c r="G22" s="2"/>
      <c r="H22" s="2"/>
      <c r="I22" s="2"/>
      <c r="J22" s="19">
        <f t="shared" si="5"/>
        <v>0</v>
      </c>
      <c r="K22" s="2"/>
      <c r="L22" s="2">
        <f t="shared" si="6"/>
        <v>-20540.88</v>
      </c>
      <c r="M22" s="2"/>
      <c r="N22" s="19">
        <f t="shared" si="7"/>
        <v>0</v>
      </c>
      <c r="O22" s="11"/>
      <c r="P22" s="2">
        <v>-77324.73</v>
      </c>
      <c r="Q22" s="2"/>
      <c r="R22" s="19">
        <f t="shared" si="8"/>
        <v>-0.10441108358207653</v>
      </c>
      <c r="S22" s="2"/>
      <c r="T22" s="2"/>
      <c r="U22" s="2"/>
      <c r="V22" s="19">
        <f t="shared" si="9"/>
        <v>0</v>
      </c>
      <c r="W22" s="2"/>
      <c r="X22" s="2">
        <f t="shared" si="10"/>
        <v>-77324.73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"5083", " - ", "PURCHASES @ COST-COMPUTER EQUI")</f>
        <v xml:space="preserve">          5083 - PURCHASES @ COST-COMPUTER EQUI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"5085", " - ", "PURCHASES @ COST-SOFTWARE")</f>
        <v xml:space="preserve">          5085 - PURCHASES @ COST-SOFTWARE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"5086", " - ", "PURCHASES @ COST-COMPUTER SUPP")</f>
        <v xml:space="preserve">          5086 - PURCHASES @ COST-COMPUTER SUPP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"5200", " - ", "PURCHASES OFFSET")</f>
        <v xml:space="preserve">          5200 - PURCHASES OFFSET</v>
      </c>
      <c r="C26" s="11"/>
      <c r="D26" s="2">
        <v>-134658.5</v>
      </c>
      <c r="E26" s="2"/>
      <c r="F26" s="19">
        <f t="shared" si="4"/>
        <v>-1.059970719419256</v>
      </c>
      <c r="G26" s="2"/>
      <c r="H26" s="2"/>
      <c r="I26" s="2"/>
      <c r="J26" s="19">
        <f t="shared" si="5"/>
        <v>0</v>
      </c>
      <c r="K26" s="2"/>
      <c r="L26" s="2">
        <f t="shared" si="6"/>
        <v>-134658.5</v>
      </c>
      <c r="M26" s="2"/>
      <c r="N26" s="19">
        <f t="shared" si="7"/>
        <v>0</v>
      </c>
      <c r="O26" s="11"/>
      <c r="P26" s="2">
        <v>-686896.38</v>
      </c>
      <c r="Q26" s="2"/>
      <c r="R26" s="19">
        <f t="shared" si="8"/>
        <v>-0.9275117461697675</v>
      </c>
      <c r="S26" s="2"/>
      <c r="T26" s="2"/>
      <c r="U26" s="2"/>
      <c r="V26" s="19">
        <f t="shared" si="9"/>
        <v>0</v>
      </c>
      <c r="W26" s="2"/>
      <c r="X26" s="2">
        <f t="shared" si="10"/>
        <v>-686896.38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"5300", " - ", "COG$ OFFSET")</f>
        <v xml:space="preserve">          5300 - COG$ OFFSET</v>
      </c>
      <c r="C27" s="11"/>
      <c r="D27" s="2">
        <v>148852.67000000001</v>
      </c>
      <c r="E27" s="2"/>
      <c r="F27" s="19">
        <f t="shared" si="4"/>
        <v>1.1717007965139752</v>
      </c>
      <c r="G27" s="2"/>
      <c r="H27" s="2"/>
      <c r="I27" s="2"/>
      <c r="J27" s="19">
        <f t="shared" si="5"/>
        <v>0</v>
      </c>
      <c r="K27" s="2"/>
      <c r="L27" s="2">
        <f t="shared" si="6"/>
        <v>148852.67000000001</v>
      </c>
      <c r="M27" s="2"/>
      <c r="N27" s="19">
        <f t="shared" si="7"/>
        <v>0</v>
      </c>
      <c r="O27" s="11"/>
      <c r="P27" s="2">
        <v>697059.07</v>
      </c>
      <c r="Q27" s="2"/>
      <c r="R27" s="19">
        <f t="shared" si="8"/>
        <v>0.94123436084955658</v>
      </c>
      <c r="S27" s="2"/>
      <c r="T27" s="2"/>
      <c r="U27" s="2"/>
      <c r="V27" s="19">
        <f t="shared" si="9"/>
        <v>0</v>
      </c>
      <c r="W27" s="2"/>
      <c r="X27" s="2">
        <f t="shared" si="10"/>
        <v>697059.07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"5500", " - ", "FREIGHT-IN")</f>
        <v xml:space="preserve">          5500 - FREIGHT-IN</v>
      </c>
      <c r="C28" s="11"/>
      <c r="D28" s="2">
        <v>8.5399999999999991</v>
      </c>
      <c r="E28" s="2"/>
      <c r="F28" s="19">
        <f t="shared" si="4"/>
        <v>6.7223011869584515E-5</v>
      </c>
      <c r="G28" s="2"/>
      <c r="H28" s="2"/>
      <c r="I28" s="2"/>
      <c r="J28" s="19">
        <f t="shared" si="5"/>
        <v>0</v>
      </c>
      <c r="K28" s="2"/>
      <c r="L28" s="2">
        <f t="shared" si="6"/>
        <v>8.5399999999999991</v>
      </c>
      <c r="M28" s="2"/>
      <c r="N28" s="19">
        <f t="shared" si="7"/>
        <v>0</v>
      </c>
      <c r="O28" s="11"/>
      <c r="P28" s="2">
        <v>44.19</v>
      </c>
      <c r="Q28" s="2"/>
      <c r="R28" s="19">
        <f t="shared" si="8"/>
        <v>5.9669471635943144E-5</v>
      </c>
      <c r="S28" s="2"/>
      <c r="T28" s="2"/>
      <c r="U28" s="2"/>
      <c r="V28" s="19">
        <f t="shared" si="9"/>
        <v>0</v>
      </c>
      <c r="W28" s="2"/>
      <c r="X28" s="2">
        <f t="shared" si="10"/>
        <v>44.19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"5583", " - ", "FREIGHT-IN-COMPUTER EQUIPMENT")</f>
        <v xml:space="preserve">          5583 - FREIGHT-IN-COMPUTER EQUIPMENT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6" t="s">
        <v>108</v>
      </c>
      <c r="C31" s="26"/>
      <c r="D31" s="21">
        <f>D12-D19</f>
        <v>-1271.9599999999919</v>
      </c>
      <c r="E31" s="13"/>
      <c r="F31" s="20">
        <f>IF(D$12=0,0,D31/D$12)</f>
        <v>-1.0012292995039366E-2</v>
      </c>
      <c r="G31" s="13"/>
      <c r="H31" s="21">
        <f>H12-H19</f>
        <v>11516</v>
      </c>
      <c r="I31" s="13"/>
      <c r="J31" s="20">
        <f>IF(H$12=0,0,H31/H$12)</f>
        <v>0.10500592687152366</v>
      </c>
      <c r="K31" s="15"/>
      <c r="L31" s="21">
        <f>+D31-H31</f>
        <v>-12787.959999999992</v>
      </c>
      <c r="M31" s="15"/>
      <c r="N31" s="20">
        <f>IF(H31=0,0,L31/H31)</f>
        <v>-1.110451545675581</v>
      </c>
      <c r="O31" s="25"/>
      <c r="P31" s="21">
        <f>P12-P19</f>
        <v>120845.37000000011</v>
      </c>
      <c r="Q31" s="13"/>
      <c r="R31" s="20">
        <f>IF(P$12=0,0,P31/P$12)</f>
        <v>0.16317672273252007</v>
      </c>
      <c r="S31" s="13"/>
      <c r="T31" s="21">
        <f>T12-T19</f>
        <v>105401</v>
      </c>
      <c r="U31" s="13"/>
      <c r="V31" s="20">
        <f>IF(T$12=0,0,T31/T$12)</f>
        <v>0.10500146940889914</v>
      </c>
      <c r="W31" s="15"/>
      <c r="X31" s="21">
        <f>+P31-T31</f>
        <v>15444.370000000112</v>
      </c>
      <c r="Y31" s="15"/>
      <c r="Z31" s="20">
        <f>IF(T31=0,0,X31/T31)</f>
        <v>0.14652963444369704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5" t="s">
        <v>295</v>
      </c>
      <c r="C33" s="10"/>
      <c r="D33" s="22">
        <f>SUM(OSRRefD22x_0)</f>
        <v>15889.1</v>
      </c>
      <c r="E33" s="22"/>
      <c r="F33" s="34">
        <f t="shared" ref="F33:F44" si="12">IF(D$12=0,0,D33/D$12)</f>
        <v>0.12507179834859666</v>
      </c>
      <c r="G33" s="22"/>
      <c r="H33" s="22">
        <f>SUM(OSRRefH22x_0)</f>
        <v>17042.1444810875</v>
      </c>
      <c r="I33" s="22"/>
      <c r="J33" s="34">
        <f t="shared" ref="J33:J44" si="13">IF(H$12=0,0,H33/H$12)</f>
        <v>0.15539477050321418</v>
      </c>
      <c r="K33" s="4"/>
      <c r="L33" s="22">
        <f t="shared" ref="L33:L44" si="14">+D33-H33</f>
        <v>-1153.0444810874997</v>
      </c>
      <c r="M33" s="4"/>
      <c r="N33" s="34">
        <f t="shared" ref="N33:N44" si="15">IF(H33=0,0,L33/H33)</f>
        <v>-6.7658414841341677E-2</v>
      </c>
      <c r="O33" s="10"/>
      <c r="P33" s="22">
        <f>SUM(OSRRefP22x_0)</f>
        <v>59025.150000000009</v>
      </c>
      <c r="Q33" s="22"/>
      <c r="R33" s="34">
        <f t="shared" ref="R33:R44" si="16">IF(P$12=0,0,P33/P$12)</f>
        <v>7.9701278880567786E-2</v>
      </c>
      <c r="S33" s="22"/>
      <c r="T33" s="22">
        <f>SUM(OSRRefT22x_0)</f>
        <v>67309.855811914997</v>
      </c>
      <c r="U33" s="22"/>
      <c r="V33" s="34">
        <f t="shared" ref="V33:V44" si="17">IF(T$12=0,0,T33/T$12)</f>
        <v>6.7054712630356492E-2</v>
      </c>
      <c r="W33" s="4"/>
      <c r="X33" s="22">
        <f t="shared" ref="X33:X44" si="18">+P33-T33</f>
        <v>-8284.7058119149879</v>
      </c>
      <c r="Y33" s="4"/>
      <c r="Z33" s="34">
        <f t="shared" ref="Z33:Z44" si="19">IF(T33=0,0,X33/T33)</f>
        <v>-0.12308310145642079</v>
      </c>
    </row>
    <row r="34" spans="1:26" s="28" customFormat="1" outlineLevel="1" collapsed="1" x14ac:dyDescent="0.25">
      <c r="A34" s="29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1906.2399999999998</v>
      </c>
      <c r="E34" s="1"/>
      <c r="F34" s="5">
        <f t="shared" si="12"/>
        <v>1.5005057862561684E-2</v>
      </c>
      <c r="G34" s="1"/>
      <c r="H34" s="1">
        <f>SUM(OSRRefH22_0x_0)</f>
        <v>3035.2062935875001</v>
      </c>
      <c r="I34" s="1"/>
      <c r="J34" s="5">
        <f t="shared" si="13"/>
        <v>2.7675811922927875E-2</v>
      </c>
      <c r="K34" s="1"/>
      <c r="L34" s="1">
        <f t="shared" si="14"/>
        <v>-1128.9662935875003</v>
      </c>
      <c r="M34" s="1"/>
      <c r="N34" s="5">
        <f t="shared" si="15"/>
        <v>-0.37195702182506496</v>
      </c>
      <c r="O34" s="14"/>
      <c r="P34" s="1">
        <f>SUM(OSRRefP22_0x_0)</f>
        <v>6565.61</v>
      </c>
      <c r="Q34" s="1"/>
      <c r="R34" s="5">
        <f t="shared" si="16"/>
        <v>8.8655007845137961E-3</v>
      </c>
      <c r="S34" s="1"/>
      <c r="T34" s="1">
        <f>SUM(OSRRefT22_0x_0)</f>
        <v>12036.878336914999</v>
      </c>
      <c r="U34" s="1"/>
      <c r="V34" s="5">
        <f t="shared" si="17"/>
        <v>1.1991251624483838E-2</v>
      </c>
      <c r="W34" s="1"/>
      <c r="X34" s="1">
        <f t="shared" si="18"/>
        <v>-5471.2683369149991</v>
      </c>
      <c r="Y34" s="1"/>
      <c r="Z34" s="5">
        <f t="shared" si="19"/>
        <v>-0.45454213158702261</v>
      </c>
    </row>
    <row r="35" spans="1:26" s="24" customFormat="1" hidden="1" outlineLevel="2" x14ac:dyDescent="0.25">
      <c r="A35" s="27"/>
      <c r="B35" s="11" t="str">
        <f>CONCATENATE("          ", "6111", " - ", "F.I.C.A.")</f>
        <v xml:space="preserve">          6111 - F.I.C.A.</v>
      </c>
      <c r="C35" s="11"/>
      <c r="D35" s="7">
        <v>724.92</v>
      </c>
      <c r="E35" s="2"/>
      <c r="F35" s="6">
        <f t="shared" si="12"/>
        <v>5.7062418927985026E-3</v>
      </c>
      <c r="G35" s="2"/>
      <c r="H35" s="7">
        <v>571.71439946249996</v>
      </c>
      <c r="I35" s="2"/>
      <c r="J35" s="6">
        <f t="shared" si="13"/>
        <v>5.2130427597565417E-3</v>
      </c>
      <c r="K35" s="2"/>
      <c r="L35" s="7">
        <f t="shared" si="14"/>
        <v>153.2056005375</v>
      </c>
      <c r="M35" s="2"/>
      <c r="N35" s="6">
        <f t="shared" si="15"/>
        <v>0.26797575971767895</v>
      </c>
      <c r="O35" s="11"/>
      <c r="P35" s="7">
        <v>2334.02</v>
      </c>
      <c r="Q35" s="2"/>
      <c r="R35" s="6">
        <f t="shared" si="16"/>
        <v>3.1516121336891611E-3</v>
      </c>
      <c r="S35" s="2"/>
      <c r="T35" s="7">
        <v>2836.941118065</v>
      </c>
      <c r="U35" s="2"/>
      <c r="V35" s="6">
        <f t="shared" si="17"/>
        <v>2.8261874747236766E-3</v>
      </c>
      <c r="W35" s="2"/>
      <c r="X35" s="7">
        <f t="shared" si="18"/>
        <v>-502.92111806499997</v>
      </c>
      <c r="Y35" s="2"/>
      <c r="Z35" s="6">
        <f t="shared" si="19"/>
        <v>-0.17727583941115729</v>
      </c>
    </row>
    <row r="36" spans="1:26" s="24" customFormat="1" hidden="1" outlineLevel="2" x14ac:dyDescent="0.25">
      <c r="A36" s="27"/>
      <c r="B36" s="11" t="str">
        <f>CONCATENATE("          ", "6112", " - ", "COMPENSATION INSURANCE")</f>
        <v xml:space="preserve">          6112 - COMPENSATION INSURANCE</v>
      </c>
      <c r="C36" s="11"/>
      <c r="D36" s="7">
        <v>184.01</v>
      </c>
      <c r="E36" s="2"/>
      <c r="F36" s="6">
        <f t="shared" si="12"/>
        <v>1.4484433740189985E-3</v>
      </c>
      <c r="G36" s="2"/>
      <c r="H36" s="7">
        <v>201.0911955</v>
      </c>
      <c r="I36" s="2"/>
      <c r="J36" s="6">
        <f t="shared" si="13"/>
        <v>1.8336025850278106E-3</v>
      </c>
      <c r="K36" s="2"/>
      <c r="L36" s="7">
        <f t="shared" si="14"/>
        <v>-17.081195500000007</v>
      </c>
      <c r="M36" s="2"/>
      <c r="N36" s="6">
        <f t="shared" si="15"/>
        <v>-8.4942532951424052E-2</v>
      </c>
      <c r="O36" s="11"/>
      <c r="P36" s="7">
        <v>609.96</v>
      </c>
      <c r="Q36" s="2"/>
      <c r="R36" s="6">
        <f t="shared" si="16"/>
        <v>8.2362504908485817E-4</v>
      </c>
      <c r="S36" s="2"/>
      <c r="T36" s="7">
        <v>743.14750379999998</v>
      </c>
      <c r="U36" s="2"/>
      <c r="V36" s="6">
        <f t="shared" si="17"/>
        <v>7.4033054607219526E-4</v>
      </c>
      <c r="W36" s="2"/>
      <c r="X36" s="7">
        <f t="shared" si="18"/>
        <v>-133.18750379999994</v>
      </c>
      <c r="Y36" s="2"/>
      <c r="Z36" s="6">
        <f t="shared" si="19"/>
        <v>-0.17922081836911358</v>
      </c>
    </row>
    <row r="37" spans="1:26" s="24" customFormat="1" hidden="1" outlineLevel="2" x14ac:dyDescent="0.25">
      <c r="A37" s="27"/>
      <c r="B37" s="11" t="str">
        <f>CONCATENATE("          ", "6113", " - ", "GROUP INSURANCE")</f>
        <v xml:space="preserve">          6113 - GROUP INSURANCE</v>
      </c>
      <c r="C37" s="11"/>
      <c r="D37" s="7">
        <v>853.84</v>
      </c>
      <c r="E37" s="2"/>
      <c r="F37" s="6">
        <f t="shared" si="12"/>
        <v>6.7210417394292796E-3</v>
      </c>
      <c r="G37" s="2"/>
      <c r="H37" s="7">
        <v>1096.5</v>
      </c>
      <c r="I37" s="2"/>
      <c r="J37" s="6">
        <f t="shared" si="13"/>
        <v>9.9981763472234888E-3</v>
      </c>
      <c r="K37" s="2"/>
      <c r="L37" s="7">
        <f t="shared" si="14"/>
        <v>-242.65999999999997</v>
      </c>
      <c r="M37" s="2"/>
      <c r="N37" s="6">
        <f t="shared" si="15"/>
        <v>-0.22130414956680344</v>
      </c>
      <c r="O37" s="11"/>
      <c r="P37" s="7">
        <v>2042.73</v>
      </c>
      <c r="Q37" s="2"/>
      <c r="R37" s="6">
        <f t="shared" si="16"/>
        <v>2.7582851277413475E-3</v>
      </c>
      <c r="S37" s="2"/>
      <c r="T37" s="7">
        <v>4080</v>
      </c>
      <c r="U37" s="2"/>
      <c r="V37" s="6">
        <f t="shared" si="17"/>
        <v>4.0645344464313284E-3</v>
      </c>
      <c r="W37" s="2"/>
      <c r="X37" s="7">
        <f t="shared" si="18"/>
        <v>-2037.27</v>
      </c>
      <c r="Y37" s="2"/>
      <c r="Z37" s="6">
        <f t="shared" si="19"/>
        <v>-0.49933088235294115</v>
      </c>
    </row>
    <row r="38" spans="1:26" s="24" customFormat="1" hidden="1" outlineLevel="2" x14ac:dyDescent="0.25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7">
        <v>32.33</v>
      </c>
      <c r="E38" s="2"/>
      <c r="F38" s="6">
        <f t="shared" si="12"/>
        <v>2.544871163634271E-4</v>
      </c>
      <c r="G38" s="2"/>
      <c r="H38" s="7">
        <v>27.069968625000001</v>
      </c>
      <c r="I38" s="2"/>
      <c r="J38" s="6">
        <f t="shared" si="13"/>
        <v>2.4683111721528222E-4</v>
      </c>
      <c r="K38" s="2"/>
      <c r="L38" s="7">
        <f t="shared" si="14"/>
        <v>5.260031374999997</v>
      </c>
      <c r="M38" s="2"/>
      <c r="N38" s="6">
        <f t="shared" si="15"/>
        <v>0.19431242968424375</v>
      </c>
      <c r="O38" s="11"/>
      <c r="P38" s="7">
        <v>107.16</v>
      </c>
      <c r="Q38" s="2"/>
      <c r="R38" s="6">
        <f t="shared" si="16"/>
        <v>1.4469745599700537E-4</v>
      </c>
      <c r="S38" s="2"/>
      <c r="T38" s="7">
        <v>100.03908705000001</v>
      </c>
      <c r="U38" s="2"/>
      <c r="V38" s="6">
        <f t="shared" si="17"/>
        <v>9.9659881202026295E-5</v>
      </c>
      <c r="W38" s="2"/>
      <c r="X38" s="7">
        <f t="shared" si="18"/>
        <v>7.1209129499999904</v>
      </c>
      <c r="Y38" s="2"/>
      <c r="Z38" s="6">
        <f t="shared" si="19"/>
        <v>7.1181306827009766E-2</v>
      </c>
    </row>
    <row r="39" spans="1:26" s="24" customFormat="1" hidden="1" outlineLevel="2" x14ac:dyDescent="0.25">
      <c r="A39" s="27"/>
      <c r="B39" s="11" t="str">
        <f>CONCATENATE("          ", "6115", " - ", "P.E.R.S.")</f>
        <v xml:space="preserve">          6115 - P.E.R.S.</v>
      </c>
      <c r="C39" s="11"/>
      <c r="D39" s="7">
        <v>148.88</v>
      </c>
      <c r="E39" s="2"/>
      <c r="F39" s="6">
        <f t="shared" si="12"/>
        <v>1.171915925895052E-3</v>
      </c>
      <c r="G39" s="2"/>
      <c r="H39" s="7">
        <v>252.70766750000001</v>
      </c>
      <c r="I39" s="2"/>
      <c r="J39" s="6">
        <f t="shared" si="13"/>
        <v>2.3042551974104134E-3</v>
      </c>
      <c r="K39" s="2"/>
      <c r="L39" s="7">
        <f t="shared" si="14"/>
        <v>-103.82766750000002</v>
      </c>
      <c r="M39" s="2"/>
      <c r="N39" s="6">
        <f t="shared" si="15"/>
        <v>-0.41086077255649561</v>
      </c>
      <c r="O39" s="11"/>
      <c r="P39" s="7">
        <v>481.28</v>
      </c>
      <c r="Q39" s="2"/>
      <c r="R39" s="6">
        <f t="shared" si="16"/>
        <v>6.4986927605672584E-4</v>
      </c>
      <c r="S39" s="2"/>
      <c r="T39" s="7">
        <v>909.74760300000003</v>
      </c>
      <c r="U39" s="2"/>
      <c r="V39" s="6">
        <f t="shared" si="17"/>
        <v>9.06299134792116E-4</v>
      </c>
      <c r="W39" s="2"/>
      <c r="X39" s="7">
        <f t="shared" si="18"/>
        <v>-428.46760300000005</v>
      </c>
      <c r="Y39" s="2"/>
      <c r="Z39" s="6">
        <f t="shared" si="19"/>
        <v>-0.47097414885961514</v>
      </c>
    </row>
    <row r="40" spans="1:26" s="24" customFormat="1" hidden="1" outlineLevel="2" x14ac:dyDescent="0.25">
      <c r="A40" s="27"/>
      <c r="B40" s="11" t="str">
        <f>CONCATENATE("          ", "6116", " - ", "EDUCATIONAL BENEFITS")</f>
        <v xml:space="preserve">          6116 - EDUCATIONAL BENEFITS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7"/>
      <c r="B41" s="11" t="str">
        <f>CONCATENATE("          ", "6117", " - ", "RETIREMENT STAFF HOURLY")</f>
        <v xml:space="preserve">          6117 - RETIREMENT STAFF HOURLY</v>
      </c>
      <c r="C41" s="11"/>
      <c r="D41" s="7">
        <v>-940.04</v>
      </c>
      <c r="E41" s="2"/>
      <c r="F41" s="6">
        <f t="shared" si="12"/>
        <v>-7.3995690957709874E-3</v>
      </c>
      <c r="G41" s="2"/>
      <c r="H41" s="7"/>
      <c r="I41" s="2"/>
      <c r="J41" s="6">
        <f t="shared" si="13"/>
        <v>0</v>
      </c>
      <c r="K41" s="2"/>
      <c r="L41" s="7">
        <f t="shared" si="14"/>
        <v>-940.04</v>
      </c>
      <c r="M41" s="2"/>
      <c r="N41" s="6">
        <f t="shared" si="15"/>
        <v>0</v>
      </c>
      <c r="O41" s="11"/>
      <c r="P41" s="7">
        <v>-657.34</v>
      </c>
      <c r="Q41" s="2"/>
      <c r="R41" s="6">
        <f t="shared" si="16"/>
        <v>-8.8760195712086153E-4</v>
      </c>
      <c r="S41" s="2"/>
      <c r="T41" s="7"/>
      <c r="U41" s="2"/>
      <c r="V41" s="6">
        <f t="shared" si="17"/>
        <v>0</v>
      </c>
      <c r="W41" s="2"/>
      <c r="X41" s="7">
        <f t="shared" si="18"/>
        <v>-657.34</v>
      </c>
      <c r="Y41" s="2"/>
      <c r="Z41" s="6">
        <f t="shared" si="19"/>
        <v>0</v>
      </c>
    </row>
    <row r="42" spans="1:26" s="24" customFormat="1" hidden="1" outlineLevel="2" x14ac:dyDescent="0.25">
      <c r="A42" s="27"/>
      <c r="B42" s="11" t="str">
        <f>CONCATENATE("          ", "6118", " - ", "VACATION")</f>
        <v xml:space="preserve">          6118 - VACATION</v>
      </c>
      <c r="C42" s="11"/>
      <c r="D42" s="7">
        <v>313.04000000000002</v>
      </c>
      <c r="E42" s="2"/>
      <c r="F42" s="6">
        <f t="shared" si="12"/>
        <v>2.4641090908260818E-3</v>
      </c>
      <c r="G42" s="2"/>
      <c r="H42" s="7">
        <v>224.11383749999999</v>
      </c>
      <c r="I42" s="2"/>
      <c r="J42" s="6">
        <f t="shared" si="13"/>
        <v>2.043529110057445E-3</v>
      </c>
      <c r="K42" s="2"/>
      <c r="L42" s="7">
        <f t="shared" si="14"/>
        <v>88.926162500000032</v>
      </c>
      <c r="M42" s="2"/>
      <c r="N42" s="6">
        <f t="shared" si="15"/>
        <v>0.39679014688238534</v>
      </c>
      <c r="O42" s="11"/>
      <c r="P42" s="7">
        <v>565.6</v>
      </c>
      <c r="Q42" s="2"/>
      <c r="R42" s="6">
        <f t="shared" si="16"/>
        <v>7.6372602754671746E-4</v>
      </c>
      <c r="S42" s="2"/>
      <c r="T42" s="7">
        <v>806.80981499999996</v>
      </c>
      <c r="U42" s="2"/>
      <c r="V42" s="6">
        <f t="shared" si="17"/>
        <v>8.0375154038882051E-4</v>
      </c>
      <c r="W42" s="2"/>
      <c r="X42" s="7">
        <f t="shared" si="18"/>
        <v>-241.20981499999994</v>
      </c>
      <c r="Y42" s="2"/>
      <c r="Z42" s="6">
        <f t="shared" si="19"/>
        <v>-0.29896737808029761</v>
      </c>
    </row>
    <row r="43" spans="1:26" s="24" customFormat="1" hidden="1" outlineLevel="2" x14ac:dyDescent="0.25">
      <c r="A43" s="27"/>
      <c r="B43" s="11" t="str">
        <f>CONCATENATE("          ", "6119", " - ", "SICK LEAVE")</f>
        <v xml:space="preserve">          6119 - SICK LEAVE</v>
      </c>
      <c r="C43" s="11"/>
      <c r="D43" s="7">
        <v>311.87</v>
      </c>
      <c r="E43" s="2"/>
      <c r="F43" s="6">
        <f t="shared" si="12"/>
        <v>2.4548993807690074E-3</v>
      </c>
      <c r="G43" s="2"/>
      <c r="H43" s="7">
        <v>312.00922500000001</v>
      </c>
      <c r="I43" s="2"/>
      <c r="J43" s="6">
        <f t="shared" si="13"/>
        <v>2.8449824473420261E-3</v>
      </c>
      <c r="K43" s="2"/>
      <c r="L43" s="7">
        <f t="shared" si="14"/>
        <v>-0.13922500000001037</v>
      </c>
      <c r="M43" s="2"/>
      <c r="N43" s="6">
        <f t="shared" si="15"/>
        <v>-4.4622078081188259E-4</v>
      </c>
      <c r="O43" s="11"/>
      <c r="P43" s="7">
        <v>614.45000000000005</v>
      </c>
      <c r="Q43" s="2"/>
      <c r="R43" s="6">
        <f t="shared" si="16"/>
        <v>8.296878670899586E-4</v>
      </c>
      <c r="S43" s="2"/>
      <c r="T43" s="7">
        <v>1160.1932099999999</v>
      </c>
      <c r="U43" s="2"/>
      <c r="V43" s="6">
        <f t="shared" si="17"/>
        <v>1.1557954084707685E-3</v>
      </c>
      <c r="W43" s="2"/>
      <c r="X43" s="7">
        <f t="shared" si="18"/>
        <v>-545.74320999999986</v>
      </c>
      <c r="Y43" s="2"/>
      <c r="Z43" s="6">
        <f t="shared" si="19"/>
        <v>-0.47038993617278618</v>
      </c>
    </row>
    <row r="44" spans="1:26" s="24" customFormat="1" hidden="1" outlineLevel="2" x14ac:dyDescent="0.25">
      <c r="A44" s="27"/>
      <c r="B44" s="11" t="str">
        <f>CONCATENATE("          ", "6156", " - ", "EMPLOYEE MEALS")</f>
        <v xml:space="preserve">          6156 - EMPLOYEE MEALS</v>
      </c>
      <c r="C44" s="11"/>
      <c r="D44" s="7">
        <v>277.39</v>
      </c>
      <c r="E44" s="2"/>
      <c r="F44" s="6">
        <f t="shared" si="12"/>
        <v>2.1834884382323245E-3</v>
      </c>
      <c r="G44" s="2"/>
      <c r="H44" s="7">
        <v>350</v>
      </c>
      <c r="I44" s="2"/>
      <c r="J44" s="6">
        <f t="shared" si="13"/>
        <v>3.1913923588948664E-3</v>
      </c>
      <c r="K44" s="2"/>
      <c r="L44" s="7">
        <f t="shared" si="14"/>
        <v>-72.610000000000014</v>
      </c>
      <c r="M44" s="2"/>
      <c r="N44" s="6">
        <f t="shared" si="15"/>
        <v>-0.2074571428571429</v>
      </c>
      <c r="O44" s="11"/>
      <c r="P44" s="7">
        <v>467.75</v>
      </c>
      <c r="Q44" s="2"/>
      <c r="R44" s="6">
        <f t="shared" si="16"/>
        <v>6.3159980442888456E-4</v>
      </c>
      <c r="S44" s="2"/>
      <c r="T44" s="7">
        <v>1400</v>
      </c>
      <c r="U44" s="2"/>
      <c r="V44" s="6">
        <f t="shared" si="17"/>
        <v>1.394693192402907E-3</v>
      </c>
      <c r="W44" s="2"/>
      <c r="X44" s="7">
        <f t="shared" si="18"/>
        <v>-932.25</v>
      </c>
      <c r="Y44" s="2"/>
      <c r="Z44" s="6">
        <f t="shared" si="19"/>
        <v>-0.66589285714285718</v>
      </c>
    </row>
    <row r="45" spans="1:26" s="28" customFormat="1" outlineLevel="1" collapsed="1" x14ac:dyDescent="0.25">
      <c r="A45" s="29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12737.43</v>
      </c>
      <c r="E45" s="1"/>
      <c r="F45" s="5">
        <f t="shared" ref="F45:F55" si="20">IF(D$12=0,0,D45/D$12)</f>
        <v>0.10026327963442647</v>
      </c>
      <c r="G45" s="1"/>
      <c r="H45" s="1">
        <f>SUM(OSRRefH22_1x_0)</f>
        <v>12516.9381875</v>
      </c>
      <c r="I45" s="1"/>
      <c r="J45" s="5">
        <f t="shared" ref="J45:J55" si="21">IF(H$12=0,0,H45/H$12)</f>
        <v>0.11413274539527674</v>
      </c>
      <c r="K45" s="1"/>
      <c r="L45" s="1">
        <f t="shared" ref="L45:L55" si="22">+D45-H45</f>
        <v>220.49181250000038</v>
      </c>
      <c r="M45" s="1"/>
      <c r="N45" s="5">
        <f t="shared" ref="N45:N55" si="23">IF(H45=0,0,L45/H45)</f>
        <v>1.7615475062439295E-2</v>
      </c>
      <c r="O45" s="14"/>
      <c r="P45" s="1">
        <f>SUM(OSRRefP22_1x_0)</f>
        <v>42365.89</v>
      </c>
      <c r="Q45" s="1"/>
      <c r="R45" s="5">
        <f t="shared" ref="R45:R55" si="24">IF(P$12=0,0,P45/P$12)</f>
        <v>5.7206387682427869E-2</v>
      </c>
      <c r="S45" s="1"/>
      <c r="T45" s="1">
        <f>SUM(OSRRefT22_1x_0)</f>
        <v>46292.977475</v>
      </c>
      <c r="U45" s="1"/>
      <c r="V45" s="5">
        <f t="shared" ref="V45:V55" si="25">IF(T$12=0,0,T45/T$12)</f>
        <v>4.611750038603115E-2</v>
      </c>
      <c r="W45" s="1"/>
      <c r="X45" s="1">
        <f t="shared" ref="X45:X55" si="26">+P45-T45</f>
        <v>-3927.0874750000003</v>
      </c>
      <c r="Y45" s="1"/>
      <c r="Z45" s="5">
        <f t="shared" ref="Z45:Z55" si="27">IF(T45=0,0,X45/T45)</f>
        <v>-8.483117071311258E-2</v>
      </c>
    </row>
    <row r="46" spans="1:26" s="24" customFormat="1" hidden="1" outlineLevel="2" x14ac:dyDescent="0.25">
      <c r="A46" s="27"/>
      <c r="B46" s="11" t="str">
        <f>CONCATENATE("          ", "6001", " - ", "ADMINISTRATIVE SALARIES")</f>
        <v xml:space="preserve">          6001 - ADMINISTRATIVE SALARIES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7"/>
      <c r="B47" s="11" t="str">
        <f>CONCATENATE("          ", "6002", " - ", "STAFF SALARIES")</f>
        <v xml:space="preserve">          6002 - STAFF SALARIES</v>
      </c>
      <c r="C47" s="11"/>
      <c r="D47" s="7">
        <v>1634.62</v>
      </c>
      <c r="E47" s="2"/>
      <c r="F47" s="6">
        <f t="shared" si="20"/>
        <v>1.2866988250850146E-2</v>
      </c>
      <c r="G47" s="2"/>
      <c r="H47" s="7">
        <v>2791.5381874999998</v>
      </c>
      <c r="I47" s="2"/>
      <c r="J47" s="6">
        <f t="shared" si="21"/>
        <v>2.5453981831859214E-2</v>
      </c>
      <c r="K47" s="2"/>
      <c r="L47" s="7">
        <f t="shared" si="22"/>
        <v>-1156.9181874999999</v>
      </c>
      <c r="M47" s="2"/>
      <c r="N47" s="6">
        <f t="shared" si="23"/>
        <v>-0.41443752862864963</v>
      </c>
      <c r="O47" s="11"/>
      <c r="P47" s="7">
        <v>9036.94</v>
      </c>
      <c r="Q47" s="2"/>
      <c r="R47" s="6">
        <f t="shared" si="24"/>
        <v>1.2202521724501474E-2</v>
      </c>
      <c r="S47" s="2"/>
      <c r="T47" s="7">
        <v>10049.537474999999</v>
      </c>
      <c r="U47" s="2"/>
      <c r="V47" s="6">
        <f t="shared" si="25"/>
        <v>1.001144393084314E-2</v>
      </c>
      <c r="W47" s="2"/>
      <c r="X47" s="7">
        <f t="shared" si="26"/>
        <v>-1012.5974749999987</v>
      </c>
      <c r="Y47" s="2"/>
      <c r="Z47" s="6">
        <f t="shared" si="27"/>
        <v>-0.10076060490535151</v>
      </c>
    </row>
    <row r="48" spans="1:26" s="24" customFormat="1" hidden="1" outlineLevel="2" x14ac:dyDescent="0.25">
      <c r="A48" s="27"/>
      <c r="B48" s="11" t="str">
        <f>CONCATENATE("          ", "6003", " - ", "STAFF HOURLY-9 MONTH")</f>
        <v xml:space="preserve">          6003 - STAFF HOURLY-9 MONTH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25">
      <c r="A49" s="27"/>
      <c r="B49" s="11" t="str">
        <f>CONCATENATE("          ", "6004", " - ", "STAFF HOURLY")</f>
        <v xml:space="preserve">          6004 - STAFF HOURLY</v>
      </c>
      <c r="C49" s="11"/>
      <c r="D49" s="7">
        <v>5152.08</v>
      </c>
      <c r="E49" s="2"/>
      <c r="F49" s="6">
        <f t="shared" si="20"/>
        <v>4.0554840163120491E-2</v>
      </c>
      <c r="G49" s="2"/>
      <c r="H49" s="7">
        <v>4305.3999999999996</v>
      </c>
      <c r="I49" s="2"/>
      <c r="J49" s="6">
        <f t="shared" si="21"/>
        <v>3.9257773319959874E-2</v>
      </c>
      <c r="K49" s="2"/>
      <c r="L49" s="7">
        <f t="shared" si="22"/>
        <v>846.68000000000029</v>
      </c>
      <c r="M49" s="2"/>
      <c r="N49" s="6">
        <f t="shared" si="23"/>
        <v>0.19665536303247094</v>
      </c>
      <c r="O49" s="11"/>
      <c r="P49" s="7">
        <v>10762.11</v>
      </c>
      <c r="Q49" s="2"/>
      <c r="R49" s="6">
        <f t="shared" si="24"/>
        <v>1.4532007634937772E-2</v>
      </c>
      <c r="S49" s="2"/>
      <c r="T49" s="7">
        <v>15499.44</v>
      </c>
      <c r="U49" s="2"/>
      <c r="V49" s="6">
        <f t="shared" si="25"/>
        <v>1.5440688181469509E-2</v>
      </c>
      <c r="W49" s="2"/>
      <c r="X49" s="7">
        <f t="shared" si="26"/>
        <v>-4737.33</v>
      </c>
      <c r="Y49" s="2"/>
      <c r="Z49" s="6">
        <f t="shared" si="27"/>
        <v>-0.30564523621498579</v>
      </c>
    </row>
    <row r="50" spans="1:26" s="24" customFormat="1" hidden="1" outlineLevel="2" x14ac:dyDescent="0.25">
      <c r="A50" s="27"/>
      <c r="B50" s="11" t="str">
        <f>CONCATENATE("          ", "6005", " - ", "TEMPORARY WAGES-HOURLY")</f>
        <v xml:space="preserve">          6005 - TEMPORARY WAGES-HOURLY</v>
      </c>
      <c r="C50" s="11"/>
      <c r="D50" s="7">
        <v>2493.6</v>
      </c>
      <c r="E50" s="2"/>
      <c r="F50" s="6">
        <f t="shared" si="20"/>
        <v>1.9628489742154094E-2</v>
      </c>
      <c r="G50" s="2"/>
      <c r="H50" s="7">
        <v>0</v>
      </c>
      <c r="I50" s="2"/>
      <c r="J50" s="6">
        <f t="shared" si="21"/>
        <v>0</v>
      </c>
      <c r="K50" s="2"/>
      <c r="L50" s="7">
        <f t="shared" si="22"/>
        <v>2493.6</v>
      </c>
      <c r="M50" s="2"/>
      <c r="N50" s="6">
        <f t="shared" si="23"/>
        <v>0</v>
      </c>
      <c r="O50" s="11"/>
      <c r="P50" s="7">
        <v>3918.88</v>
      </c>
      <c r="Q50" s="2"/>
      <c r="R50" s="6">
        <f t="shared" si="24"/>
        <v>5.2916383571999298E-3</v>
      </c>
      <c r="S50" s="2"/>
      <c r="T50" s="7">
        <v>0</v>
      </c>
      <c r="U50" s="2"/>
      <c r="V50" s="6">
        <f t="shared" si="25"/>
        <v>0</v>
      </c>
      <c r="W50" s="2"/>
      <c r="X50" s="7">
        <f t="shared" si="26"/>
        <v>3918.88</v>
      </c>
      <c r="Y50" s="2"/>
      <c r="Z50" s="6">
        <f t="shared" si="27"/>
        <v>0</v>
      </c>
    </row>
    <row r="51" spans="1:26" s="24" customFormat="1" hidden="1" outlineLevel="2" x14ac:dyDescent="0.25">
      <c r="A51" s="27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4" customFormat="1" hidden="1" outlineLevel="2" x14ac:dyDescent="0.25">
      <c r="A52" s="27"/>
      <c r="B52" s="11" t="str">
        <f>CONCATENATE("          ", "6007", " - ", "STUDENT HOURLY")</f>
        <v xml:space="preserve">          6007 - STUDENT HOURLY</v>
      </c>
      <c r="C52" s="11"/>
      <c r="D52" s="7">
        <v>1733.5</v>
      </c>
      <c r="E52" s="2"/>
      <c r="F52" s="6">
        <f t="shared" si="20"/>
        <v>1.3645326823878779E-2</v>
      </c>
      <c r="G52" s="2"/>
      <c r="H52" s="7">
        <v>0</v>
      </c>
      <c r="I52" s="2"/>
      <c r="J52" s="6">
        <f t="shared" si="21"/>
        <v>0</v>
      </c>
      <c r="K52" s="2"/>
      <c r="L52" s="7">
        <f t="shared" si="22"/>
        <v>1733.5</v>
      </c>
      <c r="M52" s="2"/>
      <c r="N52" s="6">
        <f t="shared" si="23"/>
        <v>0</v>
      </c>
      <c r="O52" s="11"/>
      <c r="P52" s="7">
        <v>14630.26</v>
      </c>
      <c r="Q52" s="2"/>
      <c r="R52" s="6">
        <f t="shared" si="24"/>
        <v>1.9755145600734863E-2</v>
      </c>
      <c r="S52" s="2"/>
      <c r="T52" s="7">
        <v>10176</v>
      </c>
      <c r="U52" s="2"/>
      <c r="V52" s="6">
        <f t="shared" si="25"/>
        <v>1.0137427089922844E-2</v>
      </c>
      <c r="W52" s="2"/>
      <c r="X52" s="7">
        <f t="shared" si="26"/>
        <v>4454.26</v>
      </c>
      <c r="Y52" s="2"/>
      <c r="Z52" s="6">
        <f t="shared" si="27"/>
        <v>0.43772209119496858</v>
      </c>
    </row>
    <row r="53" spans="1:26" s="24" customFormat="1" hidden="1" outlineLevel="2" x14ac:dyDescent="0.25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7">
        <v>1723.63</v>
      </c>
      <c r="E53" s="2"/>
      <c r="F53" s="6">
        <f t="shared" si="20"/>
        <v>1.3567634654422948E-2</v>
      </c>
      <c r="G53" s="2"/>
      <c r="H53" s="7">
        <v>5420</v>
      </c>
      <c r="I53" s="2"/>
      <c r="J53" s="6">
        <f t="shared" si="21"/>
        <v>4.9420990243457648E-2</v>
      </c>
      <c r="K53" s="2"/>
      <c r="L53" s="7">
        <f t="shared" si="22"/>
        <v>-3696.37</v>
      </c>
      <c r="M53" s="2"/>
      <c r="N53" s="6">
        <f t="shared" si="23"/>
        <v>-0.68198708487084869</v>
      </c>
      <c r="O53" s="11"/>
      <c r="P53" s="7">
        <v>4017.7</v>
      </c>
      <c r="Q53" s="2"/>
      <c r="R53" s="6">
        <f t="shared" si="24"/>
        <v>5.4250743650538303E-3</v>
      </c>
      <c r="S53" s="2"/>
      <c r="T53" s="7">
        <v>10568</v>
      </c>
      <c r="U53" s="2"/>
      <c r="V53" s="6">
        <f t="shared" si="25"/>
        <v>1.0527941183795658E-2</v>
      </c>
      <c r="W53" s="2"/>
      <c r="X53" s="7">
        <f t="shared" si="26"/>
        <v>-6550.3</v>
      </c>
      <c r="Y53" s="2"/>
      <c r="Z53" s="6">
        <f t="shared" si="27"/>
        <v>-0.61982399697199098</v>
      </c>
    </row>
    <row r="54" spans="1:26" s="24" customFormat="1" hidden="1" outlineLevel="2" x14ac:dyDescent="0.25">
      <c r="A54" s="27"/>
      <c r="B54" s="11" t="str">
        <f>CONCATENATE("          ", "6009", " - ", "TEMPORARY-SEASONAL")</f>
        <v xml:space="preserve">          6009 - TEMPORARY-SEASONAL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25">
      <c r="A55" s="27"/>
      <c r="B55" s="11" t="str">
        <f>CONCATENATE("          ", "6010", " - ", "GRATUITY")</f>
        <v xml:space="preserve">          6010 - GRATUITY</v>
      </c>
      <c r="C55" s="11"/>
      <c r="D55" s="7"/>
      <c r="E55" s="2"/>
      <c r="F55" s="6">
        <f t="shared" si="20"/>
        <v>0</v>
      </c>
      <c r="G55" s="2"/>
      <c r="H55" s="7">
        <v>0</v>
      </c>
      <c r="I55" s="2"/>
      <c r="J55" s="6">
        <f t="shared" si="21"/>
        <v>0</v>
      </c>
      <c r="K55" s="2"/>
      <c r="L55" s="7">
        <f t="shared" si="22"/>
        <v>0</v>
      </c>
      <c r="M55" s="2"/>
      <c r="N55" s="6">
        <f t="shared" si="23"/>
        <v>0</v>
      </c>
      <c r="O55" s="11"/>
      <c r="P55" s="7"/>
      <c r="Q55" s="2"/>
      <c r="R55" s="6">
        <f t="shared" si="24"/>
        <v>0</v>
      </c>
      <c r="S55" s="2"/>
      <c r="T55" s="7">
        <v>0</v>
      </c>
      <c r="U55" s="2"/>
      <c r="V55" s="6">
        <f t="shared" si="25"/>
        <v>0</v>
      </c>
      <c r="W55" s="2"/>
      <c r="X55" s="7">
        <f t="shared" si="26"/>
        <v>0</v>
      </c>
      <c r="Y55" s="2"/>
      <c r="Z55" s="6">
        <f t="shared" si="27"/>
        <v>0</v>
      </c>
    </row>
    <row r="56" spans="1:26" s="28" customFormat="1" outlineLevel="1" collapsed="1" x14ac:dyDescent="0.25">
      <c r="A56" s="29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6.62</v>
      </c>
      <c r="E56" s="1"/>
      <c r="F56" s="5">
        <f t="shared" ref="F56:F70" si="28">IF(D$12=0,0,D56/D$12)</f>
        <v>5.2109641519513996E-5</v>
      </c>
      <c r="G56" s="1"/>
      <c r="H56" s="1">
        <f>SUM(OSRRefH22_2x_0)</f>
        <v>200</v>
      </c>
      <c r="I56" s="1"/>
      <c r="J56" s="5">
        <f t="shared" ref="J56:J70" si="29">IF(H$12=0,0,H56/H$12)</f>
        <v>1.8236527765113522E-3</v>
      </c>
      <c r="K56" s="1"/>
      <c r="L56" s="1">
        <f t="shared" ref="L56:L70" si="30">+D56-H56</f>
        <v>-193.38</v>
      </c>
      <c r="M56" s="1"/>
      <c r="N56" s="5">
        <f t="shared" ref="N56:N70" si="31">IF(H56=0,0,L56/H56)</f>
        <v>-0.96689999999999998</v>
      </c>
      <c r="O56" s="14"/>
      <c r="P56" s="1">
        <f>SUM(OSRRefP22_2x_0)</f>
        <v>111.51</v>
      </c>
      <c r="Q56" s="1"/>
      <c r="R56" s="5">
        <f t="shared" ref="R56:R70" si="32">IF(P$12=0,0,P56/P$12)</f>
        <v>1.5057123290617834E-4</v>
      </c>
      <c r="S56" s="1"/>
      <c r="T56" s="1">
        <f>SUM(OSRRefT22_2x_0)</f>
        <v>800</v>
      </c>
      <c r="U56" s="1"/>
      <c r="V56" s="5">
        <f t="shared" ref="V56:V70" si="33">IF(T$12=0,0,T56/T$12)</f>
        <v>7.9696753851594678E-4</v>
      </c>
      <c r="W56" s="1"/>
      <c r="X56" s="1">
        <f t="shared" ref="X56:X70" si="34">+P56-T56</f>
        <v>-688.49</v>
      </c>
      <c r="Y56" s="1"/>
      <c r="Z56" s="5">
        <f t="shared" ref="Z56:Z70" si="35">IF(T56=0,0,X56/T56)</f>
        <v>-0.8606125</v>
      </c>
    </row>
    <row r="57" spans="1:26" s="24" customFormat="1" hidden="1" outlineLevel="2" x14ac:dyDescent="0.25">
      <c r="A57" s="27"/>
      <c r="B57" s="11" t="str">
        <f>CONCATENATE("          ", "6362", " - ", "ADVERTISING EXPENSE")</f>
        <v xml:space="preserve">          6362 - ADVERTISING EXPENSE</v>
      </c>
      <c r="C57" s="11"/>
      <c r="D57" s="7">
        <v>6.62</v>
      </c>
      <c r="E57" s="2"/>
      <c r="F57" s="6">
        <f t="shared" si="28"/>
        <v>5.2109641519513996E-5</v>
      </c>
      <c r="G57" s="2"/>
      <c r="H57" s="7">
        <v>200</v>
      </c>
      <c r="I57" s="2"/>
      <c r="J57" s="6">
        <f t="shared" si="29"/>
        <v>1.8236527765113522E-3</v>
      </c>
      <c r="K57" s="2"/>
      <c r="L57" s="7">
        <f t="shared" si="30"/>
        <v>-193.38</v>
      </c>
      <c r="M57" s="2"/>
      <c r="N57" s="6">
        <f t="shared" si="31"/>
        <v>-0.96689999999999998</v>
      </c>
      <c r="O57" s="11"/>
      <c r="P57" s="7">
        <v>111.51</v>
      </c>
      <c r="Q57" s="2"/>
      <c r="R57" s="6">
        <f t="shared" si="32"/>
        <v>1.5057123290617834E-4</v>
      </c>
      <c r="S57" s="2"/>
      <c r="T57" s="7">
        <v>800</v>
      </c>
      <c r="U57" s="2"/>
      <c r="V57" s="6">
        <f t="shared" si="33"/>
        <v>7.9696753851594678E-4</v>
      </c>
      <c r="W57" s="2"/>
      <c r="X57" s="7">
        <f t="shared" si="34"/>
        <v>-688.49</v>
      </c>
      <c r="Y57" s="2"/>
      <c r="Z57" s="6">
        <f t="shared" si="35"/>
        <v>-0.8606125</v>
      </c>
    </row>
    <row r="58" spans="1:26" s="28" customFormat="1" outlineLevel="1" collapsed="1" x14ac:dyDescent="0.25">
      <c r="A58" s="29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SUM(OSRRefD22_3x_0)</f>
        <v>280.44</v>
      </c>
      <c r="E58" s="1"/>
      <c r="F58" s="5">
        <f t="shared" si="28"/>
        <v>2.2074966567571762E-3</v>
      </c>
      <c r="G58" s="1"/>
      <c r="H58" s="1">
        <f>SUM(OSRRefH22_3x_0)</f>
        <v>0</v>
      </c>
      <c r="I58" s="1"/>
      <c r="J58" s="5">
        <f t="shared" si="29"/>
        <v>0</v>
      </c>
      <c r="K58" s="1"/>
      <c r="L58" s="1">
        <f t="shared" si="30"/>
        <v>280.44</v>
      </c>
      <c r="M58" s="1"/>
      <c r="N58" s="5">
        <f t="shared" si="31"/>
        <v>0</v>
      </c>
      <c r="O58" s="14"/>
      <c r="P58" s="1">
        <f>SUM(OSRRefP22_3x_0)</f>
        <v>1121.76</v>
      </c>
      <c r="Q58" s="1"/>
      <c r="R58" s="5">
        <f t="shared" si="32"/>
        <v>1.5147052840537585E-3</v>
      </c>
      <c r="S58" s="1"/>
      <c r="T58" s="1">
        <f>SUM(OSRRefT22_3x_0)</f>
        <v>0</v>
      </c>
      <c r="U58" s="1"/>
      <c r="V58" s="5">
        <f t="shared" si="33"/>
        <v>0</v>
      </c>
      <c r="W58" s="1"/>
      <c r="X58" s="1">
        <f t="shared" si="34"/>
        <v>1121.76</v>
      </c>
      <c r="Y58" s="1"/>
      <c r="Z58" s="5">
        <f t="shared" si="35"/>
        <v>0</v>
      </c>
    </row>
    <row r="59" spans="1:26" s="24" customFormat="1" hidden="1" outlineLevel="2" x14ac:dyDescent="0.25">
      <c r="A59" s="27"/>
      <c r="B59" s="11" t="str">
        <f>CONCATENATE("          ", "6322", " - ", "EQUIPMENT DEPRECIATION EXPENSE")</f>
        <v xml:space="preserve">          6322 - EQUIPMENT DEPRECIATION EXPENSE</v>
      </c>
      <c r="C59" s="11"/>
      <c r="D59" s="7">
        <v>280.44</v>
      </c>
      <c r="E59" s="2"/>
      <c r="F59" s="6">
        <f t="shared" si="28"/>
        <v>2.2074966567571762E-3</v>
      </c>
      <c r="G59" s="2"/>
      <c r="H59" s="7"/>
      <c r="I59" s="2"/>
      <c r="J59" s="6">
        <f t="shared" si="29"/>
        <v>0</v>
      </c>
      <c r="K59" s="2"/>
      <c r="L59" s="7">
        <f t="shared" si="30"/>
        <v>280.44</v>
      </c>
      <c r="M59" s="2"/>
      <c r="N59" s="6">
        <f t="shared" si="31"/>
        <v>0</v>
      </c>
      <c r="O59" s="11"/>
      <c r="P59" s="7">
        <v>1121.76</v>
      </c>
      <c r="Q59" s="2"/>
      <c r="R59" s="6">
        <f t="shared" si="32"/>
        <v>1.5147052840537585E-3</v>
      </c>
      <c r="S59" s="2"/>
      <c r="T59" s="7"/>
      <c r="U59" s="2"/>
      <c r="V59" s="6">
        <f t="shared" si="33"/>
        <v>0</v>
      </c>
      <c r="W59" s="2"/>
      <c r="X59" s="7">
        <f t="shared" si="34"/>
        <v>1121.76</v>
      </c>
      <c r="Y59" s="2"/>
      <c r="Z59" s="6">
        <f t="shared" si="35"/>
        <v>0</v>
      </c>
    </row>
    <row r="60" spans="1:26" s="28" customFormat="1" outlineLevel="1" collapsed="1" x14ac:dyDescent="0.25">
      <c r="A60" s="29"/>
      <c r="B60" s="14" t="str">
        <f>CONCATENATE("     ","Employees' Appreciation                           ")</f>
        <v xml:space="preserve">     Employees' Appreciation                           </v>
      </c>
      <c r="C60" s="14"/>
      <c r="D60" s="1">
        <f>SUM(OSRRefD22_4x_0)</f>
        <v>0</v>
      </c>
      <c r="E60" s="1"/>
      <c r="F60" s="5">
        <f t="shared" si="28"/>
        <v>0</v>
      </c>
      <c r="G60" s="1"/>
      <c r="H60" s="1">
        <f>SUM(OSRRefH22_4x_0)</f>
        <v>20</v>
      </c>
      <c r="I60" s="1"/>
      <c r="J60" s="5">
        <f t="shared" si="29"/>
        <v>1.8236527765113522E-4</v>
      </c>
      <c r="K60" s="1"/>
      <c r="L60" s="1">
        <f t="shared" si="30"/>
        <v>-20</v>
      </c>
      <c r="M60" s="1"/>
      <c r="N60" s="5">
        <f t="shared" si="31"/>
        <v>-1</v>
      </c>
      <c r="O60" s="14"/>
      <c r="P60" s="1">
        <f>SUM(OSRRefP22_4x_0)</f>
        <v>0</v>
      </c>
      <c r="Q60" s="1"/>
      <c r="R60" s="5">
        <f t="shared" si="32"/>
        <v>0</v>
      </c>
      <c r="S60" s="1"/>
      <c r="T60" s="1">
        <f>SUM(OSRRefT22_4x_0)</f>
        <v>80</v>
      </c>
      <c r="U60" s="1"/>
      <c r="V60" s="5">
        <f t="shared" si="33"/>
        <v>7.9696753851594678E-5</v>
      </c>
      <c r="W60" s="1"/>
      <c r="X60" s="1">
        <f t="shared" si="34"/>
        <v>-80</v>
      </c>
      <c r="Y60" s="1"/>
      <c r="Z60" s="5">
        <f t="shared" si="35"/>
        <v>-1</v>
      </c>
    </row>
    <row r="61" spans="1:26" s="24" customFormat="1" hidden="1" outlineLevel="2" x14ac:dyDescent="0.25">
      <c r="A61" s="27"/>
      <c r="B61" s="11" t="str">
        <f>CONCATENATE("          ", "6277", " - ", "EMPLOYEE APPRECIATION")</f>
        <v xml:space="preserve">          6277 - EMPLOYEE APPRECIATION</v>
      </c>
      <c r="C61" s="11"/>
      <c r="D61" s="7"/>
      <c r="E61" s="2"/>
      <c r="F61" s="6">
        <f t="shared" si="28"/>
        <v>0</v>
      </c>
      <c r="G61" s="2"/>
      <c r="H61" s="7">
        <v>20</v>
      </c>
      <c r="I61" s="2"/>
      <c r="J61" s="6">
        <f t="shared" si="29"/>
        <v>1.8236527765113522E-4</v>
      </c>
      <c r="K61" s="2"/>
      <c r="L61" s="7">
        <f t="shared" si="30"/>
        <v>-20</v>
      </c>
      <c r="M61" s="2"/>
      <c r="N61" s="6">
        <f t="shared" si="31"/>
        <v>-1</v>
      </c>
      <c r="O61" s="11"/>
      <c r="P61" s="7"/>
      <c r="Q61" s="2"/>
      <c r="R61" s="6">
        <f t="shared" si="32"/>
        <v>0</v>
      </c>
      <c r="S61" s="2"/>
      <c r="T61" s="7">
        <v>80</v>
      </c>
      <c r="U61" s="2"/>
      <c r="V61" s="6">
        <f t="shared" si="33"/>
        <v>7.9696753851594678E-5</v>
      </c>
      <c r="W61" s="2"/>
      <c r="X61" s="7">
        <f t="shared" si="34"/>
        <v>-80</v>
      </c>
      <c r="Y61" s="2"/>
      <c r="Z61" s="6">
        <f t="shared" si="35"/>
        <v>-1</v>
      </c>
    </row>
    <row r="62" spans="1:26" s="28" customFormat="1" outlineLevel="1" collapsed="1" x14ac:dyDescent="0.25">
      <c r="A62" s="29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SUM(OSRRefD22_5x_0)</f>
        <v>5.42</v>
      </c>
      <c r="E62" s="1"/>
      <c r="F62" s="5">
        <f t="shared" si="28"/>
        <v>4.2663785050719922E-5</v>
      </c>
      <c r="G62" s="1"/>
      <c r="H62" s="1">
        <f>SUM(OSRRefH22_5x_0)</f>
        <v>15</v>
      </c>
      <c r="I62" s="1"/>
      <c r="J62" s="5">
        <f t="shared" si="29"/>
        <v>1.3677395823835141E-4</v>
      </c>
      <c r="K62" s="1"/>
      <c r="L62" s="1">
        <f t="shared" si="30"/>
        <v>-9.58</v>
      </c>
      <c r="M62" s="1"/>
      <c r="N62" s="5">
        <f t="shared" si="31"/>
        <v>-0.63866666666666672</v>
      </c>
      <c r="O62" s="14"/>
      <c r="P62" s="1">
        <f>SUM(OSRRefP22_5x_0)</f>
        <v>121.79</v>
      </c>
      <c r="Q62" s="1"/>
      <c r="R62" s="5">
        <f t="shared" si="32"/>
        <v>1.6445225052141925E-4</v>
      </c>
      <c r="S62" s="1"/>
      <c r="T62" s="1">
        <f>SUM(OSRRefT22_5x_0)</f>
        <v>60</v>
      </c>
      <c r="U62" s="1"/>
      <c r="V62" s="5">
        <f t="shared" si="33"/>
        <v>5.9772565388696015E-5</v>
      </c>
      <c r="W62" s="1"/>
      <c r="X62" s="1">
        <f t="shared" si="34"/>
        <v>61.790000000000006</v>
      </c>
      <c r="Y62" s="1"/>
      <c r="Z62" s="5">
        <f t="shared" si="35"/>
        <v>1.0298333333333334</v>
      </c>
    </row>
    <row r="63" spans="1:26" s="24" customFormat="1" hidden="1" outlineLevel="2" x14ac:dyDescent="0.25">
      <c r="A63" s="27"/>
      <c r="B63" s="11" t="str">
        <f>CONCATENATE("          ", "6305", " - ", "FREIGHT OUT")</f>
        <v xml:space="preserve">          6305 - FREIGHT OUT</v>
      </c>
      <c r="C63" s="11"/>
      <c r="D63" s="7">
        <v>5.42</v>
      </c>
      <c r="E63" s="2"/>
      <c r="F63" s="6">
        <f t="shared" si="28"/>
        <v>4.2663785050719922E-5</v>
      </c>
      <c r="G63" s="2"/>
      <c r="H63" s="7">
        <v>15</v>
      </c>
      <c r="I63" s="2"/>
      <c r="J63" s="6">
        <f t="shared" si="29"/>
        <v>1.3677395823835141E-4</v>
      </c>
      <c r="K63" s="2"/>
      <c r="L63" s="7">
        <f t="shared" si="30"/>
        <v>-9.58</v>
      </c>
      <c r="M63" s="2"/>
      <c r="N63" s="6">
        <f t="shared" si="31"/>
        <v>-0.63866666666666672</v>
      </c>
      <c r="O63" s="11"/>
      <c r="P63" s="7">
        <v>121.79</v>
      </c>
      <c r="Q63" s="2"/>
      <c r="R63" s="6">
        <f t="shared" si="32"/>
        <v>1.6445225052141925E-4</v>
      </c>
      <c r="S63" s="2"/>
      <c r="T63" s="7">
        <v>60</v>
      </c>
      <c r="U63" s="2"/>
      <c r="V63" s="6">
        <f t="shared" si="33"/>
        <v>5.9772565388696015E-5</v>
      </c>
      <c r="W63" s="2"/>
      <c r="X63" s="7">
        <f t="shared" si="34"/>
        <v>61.790000000000006</v>
      </c>
      <c r="Y63" s="2"/>
      <c r="Z63" s="6">
        <f t="shared" si="35"/>
        <v>1.0298333333333334</v>
      </c>
    </row>
    <row r="64" spans="1:26" s="28" customFormat="1" outlineLevel="1" collapsed="1" x14ac:dyDescent="0.25">
      <c r="A64" s="29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SUM(OSRRefD22_6x_0)</f>
        <v>0</v>
      </c>
      <c r="E64" s="1"/>
      <c r="F64" s="5">
        <f t="shared" si="28"/>
        <v>0</v>
      </c>
      <c r="G64" s="1"/>
      <c r="H64" s="1">
        <f>SUM(OSRRefH22_6x_0)</f>
        <v>30</v>
      </c>
      <c r="I64" s="1"/>
      <c r="J64" s="5">
        <f t="shared" si="29"/>
        <v>2.7354791647670281E-4</v>
      </c>
      <c r="K64" s="1"/>
      <c r="L64" s="1">
        <f t="shared" si="30"/>
        <v>-30</v>
      </c>
      <c r="M64" s="1"/>
      <c r="N64" s="5">
        <f t="shared" si="31"/>
        <v>-1</v>
      </c>
      <c r="O64" s="14"/>
      <c r="P64" s="1">
        <f>SUM(OSRRefP22_6x_0)</f>
        <v>0</v>
      </c>
      <c r="Q64" s="1"/>
      <c r="R64" s="5">
        <f t="shared" si="32"/>
        <v>0</v>
      </c>
      <c r="S64" s="1"/>
      <c r="T64" s="1">
        <f>SUM(OSRRefT22_6x_0)</f>
        <v>120</v>
      </c>
      <c r="U64" s="1"/>
      <c r="V64" s="5">
        <f t="shared" si="33"/>
        <v>1.1954513077739203E-4</v>
      </c>
      <c r="W64" s="1"/>
      <c r="X64" s="1">
        <f t="shared" si="34"/>
        <v>-120</v>
      </c>
      <c r="Y64" s="1"/>
      <c r="Z64" s="5">
        <f t="shared" si="35"/>
        <v>-1</v>
      </c>
    </row>
    <row r="65" spans="1:26" s="24" customFormat="1" hidden="1" outlineLevel="2" x14ac:dyDescent="0.25">
      <c r="A65" s="27"/>
      <c r="B65" s="11" t="str">
        <f>CONCATENATE("          ", "6279", " - ", "GENERAL EXPENSE")</f>
        <v xml:space="preserve">          6279 - GENERAL EXPENSE</v>
      </c>
      <c r="C65" s="11"/>
      <c r="D65" s="7"/>
      <c r="E65" s="2"/>
      <c r="F65" s="6">
        <f t="shared" si="28"/>
        <v>0</v>
      </c>
      <c r="G65" s="2"/>
      <c r="H65" s="7">
        <v>30</v>
      </c>
      <c r="I65" s="2"/>
      <c r="J65" s="6">
        <f t="shared" si="29"/>
        <v>2.7354791647670281E-4</v>
      </c>
      <c r="K65" s="2"/>
      <c r="L65" s="7">
        <f t="shared" si="30"/>
        <v>-30</v>
      </c>
      <c r="M65" s="2"/>
      <c r="N65" s="6">
        <f t="shared" si="31"/>
        <v>-1</v>
      </c>
      <c r="O65" s="11"/>
      <c r="P65" s="7"/>
      <c r="Q65" s="2"/>
      <c r="R65" s="6">
        <f t="shared" si="32"/>
        <v>0</v>
      </c>
      <c r="S65" s="2"/>
      <c r="T65" s="7">
        <v>120</v>
      </c>
      <c r="U65" s="2"/>
      <c r="V65" s="6">
        <f t="shared" si="33"/>
        <v>1.1954513077739203E-4</v>
      </c>
      <c r="W65" s="2"/>
      <c r="X65" s="7">
        <f t="shared" si="34"/>
        <v>-120</v>
      </c>
      <c r="Y65" s="2"/>
      <c r="Z65" s="6">
        <f t="shared" si="35"/>
        <v>-1</v>
      </c>
    </row>
    <row r="66" spans="1:26" s="28" customFormat="1" outlineLevel="1" collapsed="1" x14ac:dyDescent="0.25">
      <c r="A66" s="29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SUM(OSRRefD22_7x_0)</f>
        <v>590</v>
      </c>
      <c r="E66" s="1"/>
      <c r="F66" s="5">
        <f t="shared" si="28"/>
        <v>4.6442127638237551E-3</v>
      </c>
      <c r="G66" s="1"/>
      <c r="H66" s="1">
        <f>SUM(OSRRefH22_7x_0)</f>
        <v>590</v>
      </c>
      <c r="I66" s="1"/>
      <c r="J66" s="5">
        <f t="shared" si="29"/>
        <v>5.3797756907084894E-3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SUM(OSRRefP22_7x_0)</f>
        <v>4670</v>
      </c>
      <c r="Q66" s="1"/>
      <c r="R66" s="5">
        <f t="shared" si="32"/>
        <v>6.3058708427213058E-3</v>
      </c>
      <c r="S66" s="1"/>
      <c r="T66" s="1">
        <f>SUM(OSRRefT22_7x_0)</f>
        <v>5380</v>
      </c>
      <c r="U66" s="1"/>
      <c r="V66" s="5">
        <f t="shared" si="33"/>
        <v>5.3596066965197423E-3</v>
      </c>
      <c r="W66" s="1"/>
      <c r="X66" s="1">
        <f t="shared" si="34"/>
        <v>-710</v>
      </c>
      <c r="Y66" s="1"/>
      <c r="Z66" s="5">
        <f t="shared" si="35"/>
        <v>-0.13197026022304834</v>
      </c>
    </row>
    <row r="67" spans="1:26" s="24" customFormat="1" hidden="1" outlineLevel="2" x14ac:dyDescent="0.25">
      <c r="A67" s="27"/>
      <c r="B67" s="11" t="str">
        <f>CONCATENATE("          ", "6408", " - ", "INVENTORY ADJUSTMENT")</f>
        <v xml:space="preserve">          6408 - INVENTORY ADJUSTMENT</v>
      </c>
      <c r="C67" s="11"/>
      <c r="D67" s="7">
        <v>590</v>
      </c>
      <c r="E67" s="2"/>
      <c r="F67" s="6">
        <f t="shared" si="28"/>
        <v>4.6442127638237551E-3</v>
      </c>
      <c r="G67" s="2"/>
      <c r="H67" s="7">
        <v>590</v>
      </c>
      <c r="I67" s="2"/>
      <c r="J67" s="6">
        <f t="shared" si="29"/>
        <v>5.3797756907084894E-3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>
        <v>4670</v>
      </c>
      <c r="Q67" s="2"/>
      <c r="R67" s="6">
        <f t="shared" si="32"/>
        <v>6.3058708427213058E-3</v>
      </c>
      <c r="S67" s="2"/>
      <c r="T67" s="7">
        <v>5380</v>
      </c>
      <c r="U67" s="2"/>
      <c r="V67" s="6">
        <f t="shared" si="33"/>
        <v>5.3596066965197423E-3</v>
      </c>
      <c r="W67" s="2"/>
      <c r="X67" s="7">
        <f t="shared" si="34"/>
        <v>-710</v>
      </c>
      <c r="Y67" s="2"/>
      <c r="Z67" s="6">
        <f t="shared" si="35"/>
        <v>-0.13197026022304834</v>
      </c>
    </row>
    <row r="68" spans="1:26" s="28" customFormat="1" outlineLevel="1" collapsed="1" x14ac:dyDescent="0.25">
      <c r="A68" s="29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SUM(OSRRefD22_8x_0)</f>
        <v>159.5</v>
      </c>
      <c r="E68" s="1"/>
      <c r="F68" s="5">
        <f t="shared" si="28"/>
        <v>1.2555117556438795E-3</v>
      </c>
      <c r="G68" s="1"/>
      <c r="H68" s="1">
        <f>SUM(OSRRefH22_8x_0)</f>
        <v>310</v>
      </c>
      <c r="I68" s="1"/>
      <c r="J68" s="5">
        <f t="shared" si="29"/>
        <v>2.826661803592596E-3</v>
      </c>
      <c r="K68" s="1"/>
      <c r="L68" s="1">
        <f t="shared" si="30"/>
        <v>-150.5</v>
      </c>
      <c r="M68" s="1"/>
      <c r="N68" s="5">
        <f t="shared" si="31"/>
        <v>-0.48548387096774193</v>
      </c>
      <c r="O68" s="14"/>
      <c r="P68" s="1">
        <f>SUM(OSRRefP22_8x_0)</f>
        <v>3218.69</v>
      </c>
      <c r="Q68" s="1"/>
      <c r="R68" s="5">
        <f t="shared" si="32"/>
        <v>4.3461763217898589E-3</v>
      </c>
      <c r="S68" s="1"/>
      <c r="T68" s="1">
        <f>SUM(OSRRefT22_8x_0)</f>
        <v>1240</v>
      </c>
      <c r="U68" s="1"/>
      <c r="V68" s="5">
        <f t="shared" si="33"/>
        <v>1.2352996846997175E-3</v>
      </c>
      <c r="W68" s="1"/>
      <c r="X68" s="1">
        <f t="shared" si="34"/>
        <v>1978.69</v>
      </c>
      <c r="Y68" s="1"/>
      <c r="Z68" s="5">
        <f t="shared" si="35"/>
        <v>1.595717741935484</v>
      </c>
    </row>
    <row r="69" spans="1:26" s="24" customFormat="1" hidden="1" outlineLevel="2" x14ac:dyDescent="0.25">
      <c r="A69" s="27"/>
      <c r="B69" s="11" t="str">
        <f>CONCATENATE("          ", "6241", " - ", "OFFICE EXPENSE")</f>
        <v xml:space="preserve">          6241 - OFFICE EXPENSE</v>
      </c>
      <c r="C69" s="11"/>
      <c r="D69" s="7">
        <v>159.5</v>
      </c>
      <c r="E69" s="2"/>
      <c r="F69" s="6">
        <f t="shared" si="28"/>
        <v>1.2555117556438795E-3</v>
      </c>
      <c r="G69" s="2"/>
      <c r="H69" s="7">
        <v>110</v>
      </c>
      <c r="I69" s="2"/>
      <c r="J69" s="6">
        <f t="shared" si="29"/>
        <v>1.0030090270812437E-3</v>
      </c>
      <c r="K69" s="2"/>
      <c r="L69" s="7">
        <f t="shared" si="30"/>
        <v>49.5</v>
      </c>
      <c r="M69" s="2"/>
      <c r="N69" s="6">
        <f t="shared" si="31"/>
        <v>0.45</v>
      </c>
      <c r="O69" s="11"/>
      <c r="P69" s="7">
        <v>306.69</v>
      </c>
      <c r="Q69" s="2"/>
      <c r="R69" s="6">
        <f t="shared" si="32"/>
        <v>4.141215264998281E-4</v>
      </c>
      <c r="S69" s="2"/>
      <c r="T69" s="7">
        <v>440</v>
      </c>
      <c r="U69" s="2"/>
      <c r="V69" s="6">
        <f t="shared" si="33"/>
        <v>4.3833214618377075E-4</v>
      </c>
      <c r="W69" s="2"/>
      <c r="X69" s="7">
        <f t="shared" si="34"/>
        <v>-133.31</v>
      </c>
      <c r="Y69" s="2"/>
      <c r="Z69" s="6">
        <f t="shared" si="35"/>
        <v>-0.30297727272727271</v>
      </c>
    </row>
    <row r="70" spans="1:26" s="24" customFormat="1" hidden="1" outlineLevel="2" x14ac:dyDescent="0.25">
      <c r="A70" s="27"/>
      <c r="B70" s="11" t="str">
        <f>CONCATENATE("          ", "6247", " - ", "STORE SUPPLIES")</f>
        <v xml:space="preserve">          6247 - STORE SUPPLIES</v>
      </c>
      <c r="C70" s="11"/>
      <c r="D70" s="7"/>
      <c r="E70" s="2"/>
      <c r="F70" s="6">
        <f t="shared" si="28"/>
        <v>0</v>
      </c>
      <c r="G70" s="2"/>
      <c r="H70" s="7">
        <v>200</v>
      </c>
      <c r="I70" s="2"/>
      <c r="J70" s="6">
        <f t="shared" si="29"/>
        <v>1.8236527765113522E-3</v>
      </c>
      <c r="K70" s="2"/>
      <c r="L70" s="7">
        <f t="shared" si="30"/>
        <v>-200</v>
      </c>
      <c r="M70" s="2"/>
      <c r="N70" s="6">
        <f t="shared" si="31"/>
        <v>-1</v>
      </c>
      <c r="O70" s="11"/>
      <c r="P70" s="7">
        <v>2912</v>
      </c>
      <c r="Q70" s="2"/>
      <c r="R70" s="6">
        <f t="shared" si="32"/>
        <v>3.9320547952900308E-3</v>
      </c>
      <c r="S70" s="2"/>
      <c r="T70" s="7">
        <v>800</v>
      </c>
      <c r="U70" s="2"/>
      <c r="V70" s="6">
        <f t="shared" si="33"/>
        <v>7.9696753851594678E-4</v>
      </c>
      <c r="W70" s="2"/>
      <c r="X70" s="7">
        <f t="shared" si="34"/>
        <v>2112</v>
      </c>
      <c r="Y70" s="2"/>
      <c r="Z70" s="6">
        <f t="shared" si="35"/>
        <v>2.64</v>
      </c>
    </row>
    <row r="71" spans="1:26" s="28" customFormat="1" outlineLevel="1" collapsed="1" x14ac:dyDescent="0.25">
      <c r="A71" s="29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SUM(OSRRefD22_9x_0)</f>
        <v>203.45</v>
      </c>
      <c r="E71" s="1"/>
      <c r="F71" s="5">
        <f t="shared" ref="F71:F72" si="36">IF(D$12=0,0,D71/D$12)</f>
        <v>1.6014662488134626E-3</v>
      </c>
      <c r="G71" s="1"/>
      <c r="H71" s="1">
        <f>SUM(OSRRefH22_9x_0)</f>
        <v>325</v>
      </c>
      <c r="I71" s="1"/>
      <c r="J71" s="5">
        <f t="shared" ref="J71:J72" si="37">IF(H$12=0,0,H71/H$12)</f>
        <v>2.9634357618309472E-3</v>
      </c>
      <c r="K71" s="1"/>
      <c r="L71" s="1">
        <f t="shared" ref="L71:L72" si="38">+D71-H71</f>
        <v>-121.55000000000001</v>
      </c>
      <c r="M71" s="1"/>
      <c r="N71" s="5">
        <f t="shared" ref="N71:N72" si="39">IF(H71=0,0,L71/H71)</f>
        <v>-0.37400000000000005</v>
      </c>
      <c r="O71" s="14"/>
      <c r="P71" s="1">
        <f>SUM(OSRRefP22_9x_0)</f>
        <v>849.9</v>
      </c>
      <c r="Q71" s="1"/>
      <c r="R71" s="5">
        <f t="shared" ref="R71:R72" si="40">IF(P$12=0,0,P71/P$12)</f>
        <v>1.1476144816335841E-3</v>
      </c>
      <c r="S71" s="1"/>
      <c r="T71" s="1">
        <f>SUM(OSRRefT22_9x_0)</f>
        <v>1300</v>
      </c>
      <c r="U71" s="1"/>
      <c r="V71" s="5">
        <f t="shared" ref="V71:V72" si="41">IF(T$12=0,0,T71/T$12)</f>
        <v>1.2950722500884135E-3</v>
      </c>
      <c r="W71" s="1"/>
      <c r="X71" s="1">
        <f t="shared" ref="X71:X72" si="42">+P71-T71</f>
        <v>-450.1</v>
      </c>
      <c r="Y71" s="1"/>
      <c r="Z71" s="5">
        <f t="shared" ref="Z71:Z72" si="43">IF(T71=0,0,X71/T71)</f>
        <v>-0.34623076923076923</v>
      </c>
    </row>
    <row r="72" spans="1:26" s="24" customFormat="1" hidden="1" outlineLevel="2" x14ac:dyDescent="0.25">
      <c r="A72" s="27"/>
      <c r="B72" s="11" t="str">
        <f>CONCATENATE("          ", "6309", " - ", "TELEPHONE")</f>
        <v xml:space="preserve">          6309 - TELEPHONE</v>
      </c>
      <c r="C72" s="11"/>
      <c r="D72" s="7">
        <v>203.45</v>
      </c>
      <c r="E72" s="2"/>
      <c r="F72" s="6">
        <f t="shared" si="36"/>
        <v>1.6014662488134626E-3</v>
      </c>
      <c r="G72" s="2"/>
      <c r="H72" s="7">
        <v>325</v>
      </c>
      <c r="I72" s="2"/>
      <c r="J72" s="6">
        <f t="shared" si="37"/>
        <v>2.9634357618309472E-3</v>
      </c>
      <c r="K72" s="2"/>
      <c r="L72" s="7">
        <f t="shared" si="38"/>
        <v>-121.55000000000001</v>
      </c>
      <c r="M72" s="2"/>
      <c r="N72" s="6">
        <f t="shared" si="39"/>
        <v>-0.37400000000000005</v>
      </c>
      <c r="O72" s="11"/>
      <c r="P72" s="7">
        <v>849.9</v>
      </c>
      <c r="Q72" s="2"/>
      <c r="R72" s="6">
        <f t="shared" si="40"/>
        <v>1.1476144816335841E-3</v>
      </c>
      <c r="S72" s="2"/>
      <c r="T72" s="7">
        <v>1300</v>
      </c>
      <c r="U72" s="2"/>
      <c r="V72" s="6">
        <f t="shared" si="41"/>
        <v>1.2950722500884135E-3</v>
      </c>
      <c r="W72" s="2"/>
      <c r="X72" s="7">
        <f t="shared" si="42"/>
        <v>-450.1</v>
      </c>
      <c r="Y72" s="2"/>
      <c r="Z72" s="6">
        <f t="shared" si="43"/>
        <v>-0.34623076923076923</v>
      </c>
    </row>
    <row r="73" spans="1:26" s="60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25">
      <c r="A74" s="10"/>
      <c r="B74" s="25" t="s">
        <v>293</v>
      </c>
      <c r="C74" s="10"/>
      <c r="D74" s="4">
        <f>SUM(OSRRefD25x_0)</f>
        <v>-964.18999999999994</v>
      </c>
      <c r="E74" s="4"/>
      <c r="F74" s="12">
        <f t="shared" ref="F74:F77" si="44">IF(D$12=0,0,D74/D$12)</f>
        <v>-7.5896669572054678E-3</v>
      </c>
      <c r="G74" s="4"/>
      <c r="H74" s="4">
        <f>SUM(OSRRefH25x_0)</f>
        <v>1047</v>
      </c>
      <c r="I74" s="4"/>
      <c r="J74" s="12">
        <f t="shared" ref="J74:J77" si="45">IF(H$12=0,0,H74/H$12)</f>
        <v>9.5468222850369298E-3</v>
      </c>
      <c r="K74" s="4"/>
      <c r="L74" s="4">
        <f t="shared" ref="L74:L77" si="46">+D74-H74</f>
        <v>-2011.19</v>
      </c>
      <c r="M74" s="4"/>
      <c r="N74" s="12">
        <f t="shared" ref="N74:N77" si="47">IF(H74=0,0,L74/H74)</f>
        <v>-1.9209073543457498</v>
      </c>
      <c r="O74" s="10"/>
      <c r="P74" s="4">
        <f>SUM(OSRRefP25x_0)</f>
        <v>1807.25</v>
      </c>
      <c r="Q74" s="4"/>
      <c r="R74" s="12">
        <f t="shared" ref="R74:R77" si="48">IF(P$12=0,0,P74/P$12)</f>
        <v>2.440318004391452E-3</v>
      </c>
      <c r="S74" s="4"/>
      <c r="T74" s="4">
        <f>SUM(OSRRefT25x_0)</f>
        <v>9580</v>
      </c>
      <c r="U74" s="4"/>
      <c r="V74" s="12">
        <f t="shared" ref="V74:V77" si="49">IF(T$12=0,0,T74/T$12)</f>
        <v>9.5436862737284626E-3</v>
      </c>
      <c r="W74" s="4"/>
      <c r="X74" s="4">
        <f t="shared" ref="X74:X77" si="50">+P74-T74</f>
        <v>-7772.75</v>
      </c>
      <c r="Y74" s="4"/>
      <c r="Z74" s="12">
        <f t="shared" ref="Z74:Z77" si="51">IF(T74=0,0,X74/T74)</f>
        <v>-0.81135177453027141</v>
      </c>
    </row>
    <row r="75" spans="1:26" s="24" customFormat="1" hidden="1" outlineLevel="1" x14ac:dyDescent="0.25">
      <c r="A75" s="44"/>
      <c r="B75" s="11" t="str">
        <f>CONCATENATE("          ", "4187", " - ", "NON-TAXABLE SALES-COMPUTER REP")</f>
        <v xml:space="preserve">          4187 - NON-TAXABLE SALES-COMPUTER REP</v>
      </c>
      <c r="C75" s="11"/>
      <c r="D75" s="2">
        <f>0</f>
        <v>0</v>
      </c>
      <c r="E75" s="2"/>
      <c r="F75" s="19">
        <f t="shared" si="44"/>
        <v>0</v>
      </c>
      <c r="G75" s="2"/>
      <c r="H75" s="2"/>
      <c r="I75" s="2"/>
      <c r="J75" s="19">
        <f t="shared" si="45"/>
        <v>0</v>
      </c>
      <c r="K75" s="2"/>
      <c r="L75" s="2">
        <f t="shared" si="46"/>
        <v>0</v>
      </c>
      <c r="M75" s="2"/>
      <c r="N75" s="19">
        <f t="shared" si="47"/>
        <v>0</v>
      </c>
      <c r="O75" s="11"/>
      <c r="P75" s="2">
        <f>0</f>
        <v>0</v>
      </c>
      <c r="Q75" s="2"/>
      <c r="R75" s="19">
        <f t="shared" si="48"/>
        <v>0</v>
      </c>
      <c r="S75" s="2"/>
      <c r="T75" s="2"/>
      <c r="U75" s="2"/>
      <c r="V75" s="19">
        <f t="shared" si="49"/>
        <v>0</v>
      </c>
      <c r="W75" s="2"/>
      <c r="X75" s="2">
        <f t="shared" si="50"/>
        <v>0</v>
      </c>
      <c r="Y75" s="2"/>
      <c r="Z75" s="19">
        <f t="shared" si="51"/>
        <v>0</v>
      </c>
    </row>
    <row r="76" spans="1:26" s="24" customFormat="1" hidden="1" outlineLevel="1" x14ac:dyDescent="0.25">
      <c r="A76" s="44"/>
      <c r="B76" s="11" t="str">
        <f>CONCATENATE("          ", "9087", " - ", "")</f>
        <v xml:space="preserve">          9087 - </v>
      </c>
      <c r="C76" s="11"/>
      <c r="D76" s="2">
        <f>-830.04</f>
        <v>-830.04</v>
      </c>
      <c r="E76" s="2"/>
      <c r="F76" s="19">
        <f t="shared" si="44"/>
        <v>-6.5336989194648637E-3</v>
      </c>
      <c r="G76" s="2"/>
      <c r="H76" s="2"/>
      <c r="I76" s="2"/>
      <c r="J76" s="19">
        <f t="shared" si="45"/>
        <v>0</v>
      </c>
      <c r="K76" s="2"/>
      <c r="L76" s="2">
        <f t="shared" si="46"/>
        <v>-830.04</v>
      </c>
      <c r="M76" s="2"/>
      <c r="N76" s="19">
        <f t="shared" si="47"/>
        <v>0</v>
      </c>
      <c r="O76" s="11"/>
      <c r="P76" s="2">
        <f>-466.39</f>
        <v>-466.39</v>
      </c>
      <c r="Q76" s="2"/>
      <c r="R76" s="19">
        <f t="shared" si="48"/>
        <v>-6.2976340521130405E-4</v>
      </c>
      <c r="S76" s="2"/>
      <c r="T76" s="2"/>
      <c r="U76" s="2"/>
      <c r="V76" s="19">
        <f t="shared" si="49"/>
        <v>0</v>
      </c>
      <c r="W76" s="2"/>
      <c r="X76" s="2">
        <f t="shared" si="50"/>
        <v>-466.39</v>
      </c>
      <c r="Y76" s="2"/>
      <c r="Z76" s="19">
        <f t="shared" si="51"/>
        <v>0</v>
      </c>
    </row>
    <row r="77" spans="1:26" s="24" customFormat="1" hidden="1" outlineLevel="1" x14ac:dyDescent="0.25">
      <c r="A77" s="44"/>
      <c r="B77" s="11" t="str">
        <f>CONCATENATE("          ", "9150", " - ", "MISC. INCOME")</f>
        <v xml:space="preserve">          9150 - MISC. INCOME</v>
      </c>
      <c r="C77" s="11"/>
      <c r="D77" s="2">
        <f>-134.15</f>
        <v>-134.15</v>
      </c>
      <c r="E77" s="2"/>
      <c r="F77" s="19">
        <f t="shared" si="44"/>
        <v>-1.0559680377406047E-3</v>
      </c>
      <c r="G77" s="2"/>
      <c r="H77" s="2">
        <v>1047</v>
      </c>
      <c r="I77" s="2"/>
      <c r="J77" s="19">
        <f t="shared" si="45"/>
        <v>9.5468222850369298E-3</v>
      </c>
      <c r="K77" s="2"/>
      <c r="L77" s="2">
        <f t="shared" si="46"/>
        <v>-1181.1500000000001</v>
      </c>
      <c r="M77" s="2"/>
      <c r="N77" s="19">
        <f t="shared" si="47"/>
        <v>-1.1281279847182426</v>
      </c>
      <c r="O77" s="11"/>
      <c r="P77" s="2">
        <f>--2273.64</f>
        <v>2273.64</v>
      </c>
      <c r="Q77" s="2"/>
      <c r="R77" s="19">
        <f t="shared" si="48"/>
        <v>3.0700814096027555E-3</v>
      </c>
      <c r="S77" s="2"/>
      <c r="T77" s="2">
        <v>9580</v>
      </c>
      <c r="U77" s="2"/>
      <c r="V77" s="19">
        <f t="shared" si="49"/>
        <v>9.5436862737284626E-3</v>
      </c>
      <c r="W77" s="2"/>
      <c r="X77" s="2">
        <f t="shared" si="50"/>
        <v>-7306.3600000000006</v>
      </c>
      <c r="Y77" s="2"/>
      <c r="Z77" s="19">
        <f t="shared" si="51"/>
        <v>-0.76266805845511487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6" t="s">
        <v>277</v>
      </c>
      <c r="C79" s="26"/>
      <c r="D79" s="21">
        <f>+D31-D33+D74</f>
        <v>-18125.249999999989</v>
      </c>
      <c r="E79" s="13"/>
      <c r="F79" s="20">
        <f>IF(D$12=0,0,D79/D$12)</f>
        <v>-0.14267375830084147</v>
      </c>
      <c r="G79" s="13"/>
      <c r="H79" s="21">
        <f>+H31-H33+H74</f>
        <v>-4479.1444810875</v>
      </c>
      <c r="I79" s="13"/>
      <c r="J79" s="20">
        <f>IF(H$12=0,0,H79/H$12)</f>
        <v>-4.0842021346653601E-2</v>
      </c>
      <c r="K79" s="15"/>
      <c r="L79" s="21">
        <f>+D79-H79</f>
        <v>-13646.105518912489</v>
      </c>
      <c r="M79" s="15"/>
      <c r="N79" s="20">
        <f>IF(H79=0,0,L79/H79)</f>
        <v>3.0465874848491881</v>
      </c>
      <c r="O79" s="25"/>
      <c r="P79" s="21">
        <f>+P31-P33+P74</f>
        <v>63627.470000000103</v>
      </c>
      <c r="Q79" s="13"/>
      <c r="R79" s="20">
        <f>IF(P$12=0,0,P79/P$12)</f>
        <v>8.5915761856343739E-2</v>
      </c>
      <c r="S79" s="13"/>
      <c r="T79" s="21">
        <f>+T31-T33+T74</f>
        <v>47671.144188085003</v>
      </c>
      <c r="U79" s="13"/>
      <c r="V79" s="20">
        <f>IF(T$12=0,0,T79/T$12)</f>
        <v>4.7490443052271111E-2</v>
      </c>
      <c r="W79" s="15"/>
      <c r="X79" s="21">
        <f>+P79-T79</f>
        <v>15956.3258119151</v>
      </c>
      <c r="Y79" s="15"/>
      <c r="Z79" s="20">
        <f>IF(T79=0,0,X79/T79)</f>
        <v>0.33471665267693002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128</v>
      </c>
      <c r="C81" s="10"/>
      <c r="D81" s="4">
        <v>9663.6200000000008</v>
      </c>
      <c r="E81" s="4"/>
      <c r="F81" s="12">
        <f>IF(D$12=0,0,D81/D$12)</f>
        <v>7.6067639574139867E-2</v>
      </c>
      <c r="G81" s="4"/>
      <c r="H81" s="4">
        <v>18339</v>
      </c>
      <c r="I81" s="4"/>
      <c r="J81" s="12">
        <f>IF(H$12=0,0,H81/H$12)</f>
        <v>0.16721984134220844</v>
      </c>
      <c r="K81" s="4"/>
      <c r="L81" s="4">
        <f>+D81-H81</f>
        <v>-8675.3799999999992</v>
      </c>
      <c r="M81" s="4"/>
      <c r="N81" s="12">
        <f>IF(H81=0,0,L81/H81)</f>
        <v>-0.47305632804405906</v>
      </c>
      <c r="O81" s="10"/>
      <c r="P81" s="4">
        <v>85604.9</v>
      </c>
      <c r="Q81" s="4"/>
      <c r="R81" s="12">
        <f>IF(P$12=0,0,P81/P$12)</f>
        <v>0.11559174366254241</v>
      </c>
      <c r="S81" s="4"/>
      <c r="T81" s="4">
        <v>115429</v>
      </c>
      <c r="U81" s="4"/>
      <c r="V81" s="12">
        <f>IF(T$12=0,0,T81/T$12)</f>
        <v>0.11499145750419654</v>
      </c>
      <c r="W81" s="4"/>
      <c r="X81" s="4">
        <f>+P81-T81</f>
        <v>-29824.100000000006</v>
      </c>
      <c r="Y81" s="4"/>
      <c r="Z81" s="12">
        <f>IF(T81=0,0,X81/T81)</f>
        <v>-0.25837614464302738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126</v>
      </c>
      <c r="C83" s="26"/>
      <c r="D83" s="31">
        <f>+D79-D81</f>
        <v>-27788.869999999988</v>
      </c>
      <c r="E83" s="13"/>
      <c r="F83" s="33">
        <f>IF(D$12=0,0,D83/D$12)</f>
        <v>-0.21874139787498131</v>
      </c>
      <c r="G83" s="13"/>
      <c r="H83" s="31">
        <f>+H79-H81</f>
        <v>-22818.1444810875</v>
      </c>
      <c r="I83" s="13"/>
      <c r="J83" s="33">
        <f>IF(H$12=0,0,H83/H$12)</f>
        <v>-0.20806186268886204</v>
      </c>
      <c r="K83" s="15"/>
      <c r="L83" s="31">
        <f>D83-H83</f>
        <v>-4970.725518912488</v>
      </c>
      <c r="M83" s="15"/>
      <c r="N83" s="33">
        <f>IF(H83=0,0,L83/H83)</f>
        <v>0.21784091704005137</v>
      </c>
      <c r="O83" s="25"/>
      <c r="P83" s="31">
        <f>+P79-P81</f>
        <v>-21977.429999999891</v>
      </c>
      <c r="Q83" s="13"/>
      <c r="R83" s="33">
        <f>IF(P$12=0,0,P83/P$12)</f>
        <v>-2.9675981806198678E-2</v>
      </c>
      <c r="S83" s="13"/>
      <c r="T83" s="31">
        <f>+T79-T81</f>
        <v>-67757.855811914997</v>
      </c>
      <c r="U83" s="13"/>
      <c r="V83" s="33">
        <f>IF(T$12=0,0,T83/T$12)</f>
        <v>-6.7501014451925426E-2</v>
      </c>
      <c r="W83" s="15"/>
      <c r="X83" s="31">
        <f>P83-T83</f>
        <v>45780.425811915105</v>
      </c>
      <c r="Y83" s="15"/>
      <c r="Z83" s="33">
        <f>IF(T83=0,0,X83/T83)</f>
        <v>-0.67564749892609155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6" t="s">
        <v>294</v>
      </c>
      <c r="C86" s="26"/>
      <c r="D86" s="35">
        <f>SUM(D83:D85)</f>
        <v>-27788.869999999988</v>
      </c>
      <c r="E86" s="13"/>
      <c r="F86" s="32">
        <f>IF(D$12=0,0,D86/D$12)</f>
        <v>-0.21874139787498131</v>
      </c>
      <c r="G86" s="13"/>
      <c r="H86" s="35">
        <f>SUM(H83:H85)</f>
        <v>-22818.1444810875</v>
      </c>
      <c r="I86" s="13"/>
      <c r="J86" s="32">
        <f>IF(H$12=0,0,H86/H$12)</f>
        <v>-0.20806186268886204</v>
      </c>
      <c r="K86" s="15"/>
      <c r="L86" s="35">
        <f>+D86-H86</f>
        <v>-4970.725518912488</v>
      </c>
      <c r="M86" s="15"/>
      <c r="N86" s="32">
        <f>IF(H86=0,0,L86/H86)</f>
        <v>0.21784091704005137</v>
      </c>
      <c r="O86" s="25"/>
      <c r="P86" s="35">
        <f>SUM(P83:P85)</f>
        <v>-21977.429999999891</v>
      </c>
      <c r="Q86" s="13"/>
      <c r="R86" s="32">
        <f>IF(P$12=0,0,P86/P$12)</f>
        <v>-2.9675981806198678E-2</v>
      </c>
      <c r="S86" s="13"/>
      <c r="T86" s="35">
        <f>SUM(T83:T85)</f>
        <v>-67757.855811914997</v>
      </c>
      <c r="U86" s="13"/>
      <c r="V86" s="32">
        <f>IF(T$12=0,0,T86/T$12)</f>
        <v>-6.7501014451925426E-2</v>
      </c>
      <c r="W86" s="15"/>
      <c r="X86" s="35">
        <f>+P86-T86</f>
        <v>45780.425811915105</v>
      </c>
      <c r="Y86" s="15"/>
      <c r="Z86" s="32">
        <f>IF(T86=0,0,X86/T86)</f>
        <v>-0.67564749892609155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9">
        <v>44517.962875613426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62" t="s">
        <v>56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7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</sheetPr>
  <dimension ref="A2:Z10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199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25830.05</v>
      </c>
      <c r="E12" s="4"/>
      <c r="F12" s="12"/>
      <c r="G12" s="4"/>
      <c r="H12" s="4">
        <f>SUM(OSRRefH13x_0)</f>
        <v>51754</v>
      </c>
      <c r="I12" s="4"/>
      <c r="J12" s="12"/>
      <c r="K12" s="4"/>
      <c r="L12" s="4">
        <f t="shared" ref="L12:L16" si="0">+D12-H12</f>
        <v>-25923.95</v>
      </c>
      <c r="M12" s="4"/>
      <c r="N12" s="12">
        <f t="shared" ref="N12:N16" si="1">IF(H12=0,0,L12/H12)</f>
        <v>-0.50090717625690773</v>
      </c>
      <c r="O12" s="10"/>
      <c r="P12" s="4">
        <f>SUM(OSRRefP13x_0)</f>
        <v>48608.090000000004</v>
      </c>
      <c r="Q12" s="4"/>
      <c r="R12" s="12"/>
      <c r="S12" s="4"/>
      <c r="T12" s="4">
        <f>SUM(OSRRefT13x_0)</f>
        <v>105769</v>
      </c>
      <c r="U12" s="4"/>
      <c r="V12" s="12"/>
      <c r="W12" s="4"/>
      <c r="X12" s="4">
        <f t="shared" ref="X12:X16" si="2">+P12-T12</f>
        <v>-57160.909999999996</v>
      </c>
      <c r="Y12" s="4"/>
      <c r="Z12" s="12">
        <f t="shared" ref="Z12:Z16" si="3">IF(T12=0,0,X12/T12)</f>
        <v>-0.54043160094167475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--4222.65</f>
        <v>4222.6499999999996</v>
      </c>
      <c r="E13" s="2"/>
      <c r="F13" s="19"/>
      <c r="G13" s="2"/>
      <c r="H13" s="2">
        <v>10059</v>
      </c>
      <c r="I13" s="2"/>
      <c r="J13" s="19"/>
      <c r="K13" s="2"/>
      <c r="L13" s="2">
        <f t="shared" si="0"/>
        <v>-5836.35</v>
      </c>
      <c r="M13" s="2"/>
      <c r="N13" s="19">
        <f t="shared" si="1"/>
        <v>-0.58021175067104092</v>
      </c>
      <c r="O13" s="11"/>
      <c r="P13" s="2">
        <f>--8316.5</f>
        <v>8316.5</v>
      </c>
      <c r="Q13" s="2"/>
      <c r="R13" s="19"/>
      <c r="S13" s="2"/>
      <c r="T13" s="2">
        <v>20689</v>
      </c>
      <c r="U13" s="2"/>
      <c r="V13" s="19"/>
      <c r="W13" s="2"/>
      <c r="X13" s="2">
        <f t="shared" si="2"/>
        <v>-12372.5</v>
      </c>
      <c r="Y13" s="2"/>
      <c r="Z13" s="19">
        <f t="shared" si="3"/>
        <v>-0.59802310406496206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--404.53</f>
        <v>404.53</v>
      </c>
      <c r="E14" s="2"/>
      <c r="F14" s="19"/>
      <c r="G14" s="2"/>
      <c r="H14" s="2"/>
      <c r="I14" s="2"/>
      <c r="J14" s="19"/>
      <c r="K14" s="2"/>
      <c r="L14" s="2">
        <f t="shared" si="0"/>
        <v>404.53</v>
      </c>
      <c r="M14" s="2"/>
      <c r="N14" s="19">
        <f t="shared" si="1"/>
        <v>0</v>
      </c>
      <c r="O14" s="11"/>
      <c r="P14" s="2">
        <f>--543.62</f>
        <v>543.62</v>
      </c>
      <c r="Q14" s="2"/>
      <c r="R14" s="19"/>
      <c r="S14" s="2"/>
      <c r="T14" s="2"/>
      <c r="U14" s="2"/>
      <c r="V14" s="19"/>
      <c r="W14" s="2"/>
      <c r="X14" s="2">
        <f t="shared" si="2"/>
        <v>543.62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--21202.87</f>
        <v>21202.87</v>
      </c>
      <c r="E15" s="2"/>
      <c r="F15" s="19"/>
      <c r="G15" s="2"/>
      <c r="H15" s="2">
        <v>41695</v>
      </c>
      <c r="I15" s="2"/>
      <c r="J15" s="19"/>
      <c r="K15" s="2"/>
      <c r="L15" s="2">
        <f t="shared" si="0"/>
        <v>-20492.13</v>
      </c>
      <c r="M15" s="2"/>
      <c r="N15" s="19">
        <f t="shared" si="1"/>
        <v>-0.49147691569732582</v>
      </c>
      <c r="O15" s="11"/>
      <c r="P15" s="2">
        <f>--39747.97</f>
        <v>39747.97</v>
      </c>
      <c r="Q15" s="2"/>
      <c r="R15" s="19"/>
      <c r="S15" s="2"/>
      <c r="T15" s="2">
        <v>85080</v>
      </c>
      <c r="U15" s="2"/>
      <c r="V15" s="19"/>
      <c r="W15" s="2"/>
      <c r="X15" s="2">
        <f t="shared" si="2"/>
        <v>-45332.03</v>
      </c>
      <c r="Y15" s="2"/>
      <c r="Z15" s="19">
        <f t="shared" si="3"/>
        <v>-0.53281652562294313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257</v>
      </c>
      <c r="C18" s="10"/>
      <c r="D18" s="4">
        <f>SUM(OSRRefD16x_0)</f>
        <v>12147.560000000001</v>
      </c>
      <c r="E18" s="4"/>
      <c r="F18" s="12">
        <f t="shared" ref="F18:F21" si="4">IF(D$12=0,0,D18/D$12)</f>
        <v>0.47028790110743113</v>
      </c>
      <c r="G18" s="4"/>
      <c r="H18" s="4">
        <f>SUM(OSRRefH16x_0)</f>
        <v>25360</v>
      </c>
      <c r="I18" s="4"/>
      <c r="J18" s="12">
        <f t="shared" ref="J18:J21" si="5">IF(H$12=0,0,H18/H$12)</f>
        <v>0.49001043397611777</v>
      </c>
      <c r="K18" s="4"/>
      <c r="L18" s="4">
        <f t="shared" ref="L18:L21" si="6">+D18-H18</f>
        <v>-13212.439999999999</v>
      </c>
      <c r="M18" s="4"/>
      <c r="N18" s="12">
        <f t="shared" ref="N18:N21" si="7">IF(H18=0,0,L18/H18)</f>
        <v>-0.52099526813880126</v>
      </c>
      <c r="O18" s="10"/>
      <c r="P18" s="4">
        <f>SUM(OSRRefP16x_0)</f>
        <v>23365.84</v>
      </c>
      <c r="Q18" s="4"/>
      <c r="R18" s="12">
        <f t="shared" ref="R18:R21" si="8">IF(P$12=0,0,P18/P$12)</f>
        <v>0.48069858330166848</v>
      </c>
      <c r="S18" s="4"/>
      <c r="T18" s="4">
        <f>SUM(OSRRefT16x_0)</f>
        <v>51829</v>
      </c>
      <c r="U18" s="4"/>
      <c r="V18" s="12">
        <f t="shared" ref="V18:V21" si="9">IF(T$12=0,0,T18/T$12)</f>
        <v>0.4900207054997211</v>
      </c>
      <c r="W18" s="4"/>
      <c r="X18" s="4">
        <f t="shared" ref="X18:X21" si="10">+P18-T18</f>
        <v>-28463.16</v>
      </c>
      <c r="Y18" s="4"/>
      <c r="Z18" s="12">
        <f t="shared" ref="Z18:Z21" si="11">IF(T18=0,0,X18/T18)</f>
        <v>-0.54917440043219046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25360</v>
      </c>
      <c r="I19" s="2"/>
      <c r="J19" s="19">
        <f t="shared" si="5"/>
        <v>0.49001043397611777</v>
      </c>
      <c r="K19" s="2"/>
      <c r="L19" s="2">
        <f t="shared" si="6"/>
        <v>-25360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51829</v>
      </c>
      <c r="U19" s="2"/>
      <c r="V19" s="19">
        <f t="shared" si="9"/>
        <v>0.4900207054997211</v>
      </c>
      <c r="W19" s="2"/>
      <c r="X19" s="2">
        <f t="shared" si="10"/>
        <v>-51829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12727.12</v>
      </c>
      <c r="E20" s="2"/>
      <c r="F20" s="19">
        <f t="shared" si="4"/>
        <v>0.4927253334778679</v>
      </c>
      <c r="G20" s="2"/>
      <c r="H20" s="2"/>
      <c r="I20" s="2"/>
      <c r="J20" s="19">
        <f t="shared" si="5"/>
        <v>0</v>
      </c>
      <c r="K20" s="2"/>
      <c r="L20" s="2">
        <f t="shared" si="6"/>
        <v>12727.12</v>
      </c>
      <c r="M20" s="2"/>
      <c r="N20" s="19">
        <f t="shared" si="7"/>
        <v>0</v>
      </c>
      <c r="O20" s="11"/>
      <c r="P20" s="2">
        <v>36083</v>
      </c>
      <c r="Q20" s="2"/>
      <c r="R20" s="19">
        <f t="shared" si="8"/>
        <v>0.7423249915806196</v>
      </c>
      <c r="S20" s="2"/>
      <c r="T20" s="2"/>
      <c r="U20" s="2"/>
      <c r="V20" s="19">
        <f t="shared" si="9"/>
        <v>0</v>
      </c>
      <c r="W20" s="2"/>
      <c r="X20" s="2">
        <f t="shared" si="10"/>
        <v>36083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-579.55999999999995</v>
      </c>
      <c r="E21" s="2"/>
      <c r="F21" s="19">
        <f t="shared" si="4"/>
        <v>-2.2437432370436758E-2</v>
      </c>
      <c r="G21" s="2"/>
      <c r="H21" s="2"/>
      <c r="I21" s="2"/>
      <c r="J21" s="19">
        <f t="shared" si="5"/>
        <v>0</v>
      </c>
      <c r="K21" s="2"/>
      <c r="L21" s="2">
        <f t="shared" si="6"/>
        <v>-579.55999999999995</v>
      </c>
      <c r="M21" s="2"/>
      <c r="N21" s="19">
        <f t="shared" si="7"/>
        <v>0</v>
      </c>
      <c r="O21" s="11"/>
      <c r="P21" s="2">
        <v>-12717.16</v>
      </c>
      <c r="Q21" s="2"/>
      <c r="R21" s="19">
        <f t="shared" si="8"/>
        <v>-0.26162640827895106</v>
      </c>
      <c r="S21" s="2"/>
      <c r="T21" s="2"/>
      <c r="U21" s="2"/>
      <c r="V21" s="19">
        <f t="shared" si="9"/>
        <v>0</v>
      </c>
      <c r="W21" s="2"/>
      <c r="X21" s="2">
        <f t="shared" si="10"/>
        <v>-12717.16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108</v>
      </c>
      <c r="C23" s="26"/>
      <c r="D23" s="21">
        <f>D12-D18</f>
        <v>13682.489999999998</v>
      </c>
      <c r="E23" s="13"/>
      <c r="F23" s="20">
        <f>IF(D$12=0,0,D23/D$12)</f>
        <v>0.52971209889256887</v>
      </c>
      <c r="G23" s="13"/>
      <c r="H23" s="21">
        <f>H12-H18</f>
        <v>26394</v>
      </c>
      <c r="I23" s="13"/>
      <c r="J23" s="20">
        <f>IF(H$12=0,0,H23/H$12)</f>
        <v>0.50998956602388223</v>
      </c>
      <c r="K23" s="15"/>
      <c r="L23" s="21">
        <f>+D23-H23</f>
        <v>-12711.510000000002</v>
      </c>
      <c r="M23" s="15"/>
      <c r="N23" s="20">
        <f>IF(H23=0,0,L23/H23)</f>
        <v>-0.4816060468288248</v>
      </c>
      <c r="O23" s="25"/>
      <c r="P23" s="21">
        <f>P12-P18</f>
        <v>25242.250000000004</v>
      </c>
      <c r="Q23" s="13"/>
      <c r="R23" s="20">
        <f>IF(P$12=0,0,P23/P$12)</f>
        <v>0.51930141669833152</v>
      </c>
      <c r="S23" s="13"/>
      <c r="T23" s="21">
        <f>T12-T18</f>
        <v>53940</v>
      </c>
      <c r="U23" s="13"/>
      <c r="V23" s="20">
        <f>IF(T$12=0,0,T23/T$12)</f>
        <v>0.5099792945002789</v>
      </c>
      <c r="W23" s="15"/>
      <c r="X23" s="21">
        <f>+P23-T23</f>
        <v>-28697.749999999996</v>
      </c>
      <c r="Y23" s="15"/>
      <c r="Z23" s="20">
        <f>IF(T23=0,0,X23/T23)</f>
        <v>-0.53203096032628838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295</v>
      </c>
      <c r="C25" s="10"/>
      <c r="D25" s="22">
        <f>SUM(OSRRefD22x_0)</f>
        <v>20399.550000000003</v>
      </c>
      <c r="E25" s="22"/>
      <c r="F25" s="34">
        <f t="shared" ref="F25:F35" si="12">IF(D$12=0,0,D25/D$12)</f>
        <v>0.7897603759961751</v>
      </c>
      <c r="G25" s="22"/>
      <c r="H25" s="22">
        <f>SUM(OSRRefH22x_0)</f>
        <v>45722.427490384616</v>
      </c>
      <c r="I25" s="22"/>
      <c r="J25" s="34">
        <f t="shared" ref="J25:J35" si="13">IF(H$12=0,0,H25/H$12)</f>
        <v>0.88345688237401199</v>
      </c>
      <c r="K25" s="4"/>
      <c r="L25" s="22">
        <f t="shared" ref="L25:L35" si="14">+D25-H25</f>
        <v>-25322.877490384613</v>
      </c>
      <c r="M25" s="4"/>
      <c r="N25" s="34">
        <f t="shared" ref="N25:N35" si="15">IF(H25=0,0,L25/H25)</f>
        <v>-0.55383930557295957</v>
      </c>
      <c r="O25" s="10"/>
      <c r="P25" s="22">
        <f>SUM(OSRRefP22x_0)</f>
        <v>78886.289999999994</v>
      </c>
      <c r="Q25" s="22"/>
      <c r="R25" s="34">
        <f t="shared" ref="R25:R35" si="16">IF(P$12=0,0,P25/P$12)</f>
        <v>1.6229045411988001</v>
      </c>
      <c r="S25" s="22"/>
      <c r="T25" s="22">
        <f>SUM(OSRRefT22x_0)</f>
        <v>143168.18800538458</v>
      </c>
      <c r="U25" s="22"/>
      <c r="V25" s="34">
        <f t="shared" ref="V25:V35" si="17">IF(T$12=0,0,T25/T$12)</f>
        <v>1.3535930944358421</v>
      </c>
      <c r="W25" s="4"/>
      <c r="X25" s="22">
        <f t="shared" ref="X25:X35" si="18">+P25-T25</f>
        <v>-64281.898005384588</v>
      </c>
      <c r="Y25" s="4"/>
      <c r="Z25" s="34">
        <f t="shared" ref="Z25:Z35" si="19">IF(T25=0,0,X25/T25)</f>
        <v>-0.44899568054159444</v>
      </c>
    </row>
    <row r="26" spans="1:26" s="28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540.71</v>
      </c>
      <c r="E26" s="1"/>
      <c r="F26" s="5">
        <f t="shared" si="12"/>
        <v>2.093337024125002E-2</v>
      </c>
      <c r="G26" s="1"/>
      <c r="H26" s="1">
        <f>SUM(OSRRefH22_0x_0)</f>
        <v>5276.1309519230763</v>
      </c>
      <c r="I26" s="1"/>
      <c r="J26" s="5">
        <f t="shared" si="13"/>
        <v>0.1019463413827545</v>
      </c>
      <c r="K26" s="1"/>
      <c r="L26" s="1">
        <f t="shared" si="14"/>
        <v>-4735.4209519230762</v>
      </c>
      <c r="M26" s="1"/>
      <c r="N26" s="5">
        <f t="shared" si="15"/>
        <v>-0.89751770664393404</v>
      </c>
      <c r="O26" s="14"/>
      <c r="P26" s="1">
        <f>SUM(OSRRefP22_0x_0)</f>
        <v>1084.9000000000001</v>
      </c>
      <c r="Q26" s="1"/>
      <c r="R26" s="5">
        <f t="shared" si="16"/>
        <v>2.2319329971615835E-2</v>
      </c>
      <c r="S26" s="1"/>
      <c r="T26" s="1">
        <f>SUM(OSRRefT22_0x_0)</f>
        <v>17859.596466923085</v>
      </c>
      <c r="U26" s="1"/>
      <c r="V26" s="5">
        <f t="shared" si="17"/>
        <v>0.16885473500669465</v>
      </c>
      <c r="W26" s="1"/>
      <c r="X26" s="1">
        <f t="shared" si="18"/>
        <v>-16774.696466923084</v>
      </c>
      <c r="Y26" s="1"/>
      <c r="Z26" s="5">
        <f t="shared" si="19"/>
        <v>-0.93925394663819572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7">
        <v>359.05</v>
      </c>
      <c r="E27" s="2"/>
      <c r="F27" s="6">
        <f t="shared" si="12"/>
        <v>1.3900476383127405E-2</v>
      </c>
      <c r="G27" s="2"/>
      <c r="H27" s="7">
        <v>787.59672115384603</v>
      </c>
      <c r="I27" s="2"/>
      <c r="J27" s="6">
        <f t="shared" si="13"/>
        <v>1.5218084035124745E-2</v>
      </c>
      <c r="K27" s="2"/>
      <c r="L27" s="7">
        <f t="shared" si="14"/>
        <v>-428.54672115384602</v>
      </c>
      <c r="M27" s="2"/>
      <c r="N27" s="6">
        <f t="shared" si="15"/>
        <v>-0.54411948354230821</v>
      </c>
      <c r="O27" s="11"/>
      <c r="P27" s="7">
        <v>690.72</v>
      </c>
      <c r="Q27" s="2"/>
      <c r="R27" s="6">
        <f t="shared" si="16"/>
        <v>1.4209980272831126E-2</v>
      </c>
      <c r="S27" s="2"/>
      <c r="T27" s="7">
        <v>2526.77923615385</v>
      </c>
      <c r="U27" s="2"/>
      <c r="V27" s="6">
        <f t="shared" si="17"/>
        <v>2.3889601264584615E-2</v>
      </c>
      <c r="W27" s="2"/>
      <c r="X27" s="7">
        <f t="shared" si="18"/>
        <v>-1836.05923615385</v>
      </c>
      <c r="Y27" s="2"/>
      <c r="Z27" s="6">
        <f t="shared" si="19"/>
        <v>-0.72664014722101999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120.49</v>
      </c>
      <c r="E28" s="2"/>
      <c r="F28" s="6">
        <f t="shared" si="12"/>
        <v>4.6647219033644919E-3</v>
      </c>
      <c r="G28" s="2"/>
      <c r="H28" s="7">
        <v>871.296219230769</v>
      </c>
      <c r="I28" s="2"/>
      <c r="J28" s="6">
        <f t="shared" si="13"/>
        <v>1.6835340635134848E-2</v>
      </c>
      <c r="K28" s="2"/>
      <c r="L28" s="7">
        <f t="shared" si="14"/>
        <v>-750.80621923076899</v>
      </c>
      <c r="M28" s="2"/>
      <c r="N28" s="6">
        <f t="shared" si="15"/>
        <v>-0.86171178373025015</v>
      </c>
      <c r="O28" s="11"/>
      <c r="P28" s="7">
        <v>236.25</v>
      </c>
      <c r="Q28" s="2"/>
      <c r="R28" s="6">
        <f t="shared" si="16"/>
        <v>4.8603020608297912E-3</v>
      </c>
      <c r="S28" s="2"/>
      <c r="T28" s="7">
        <v>2261.33556923077</v>
      </c>
      <c r="U28" s="2"/>
      <c r="V28" s="6">
        <f t="shared" si="17"/>
        <v>2.1379946574428897E-2</v>
      </c>
      <c r="W28" s="2"/>
      <c r="X28" s="7">
        <f t="shared" si="18"/>
        <v>-2025.08556923077</v>
      </c>
      <c r="Y28" s="2"/>
      <c r="Z28" s="6">
        <f t="shared" si="19"/>
        <v>-0.89552634150606658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7"/>
      <c r="E29" s="2"/>
      <c r="F29" s="6">
        <f t="shared" si="12"/>
        <v>0</v>
      </c>
      <c r="G29" s="2"/>
      <c r="H29" s="7">
        <v>1977</v>
      </c>
      <c r="I29" s="2"/>
      <c r="J29" s="6">
        <f t="shared" si="13"/>
        <v>3.8199945897901613E-2</v>
      </c>
      <c r="K29" s="2"/>
      <c r="L29" s="7">
        <f t="shared" si="14"/>
        <v>-1977</v>
      </c>
      <c r="M29" s="2"/>
      <c r="N29" s="6">
        <f t="shared" si="15"/>
        <v>-1</v>
      </c>
      <c r="O29" s="11"/>
      <c r="P29" s="7"/>
      <c r="Q29" s="2"/>
      <c r="R29" s="6">
        <f t="shared" si="16"/>
        <v>0</v>
      </c>
      <c r="S29" s="2"/>
      <c r="T29" s="7">
        <v>7908</v>
      </c>
      <c r="U29" s="2"/>
      <c r="V29" s="6">
        <f t="shared" si="17"/>
        <v>7.4766708581909633E-2</v>
      </c>
      <c r="W29" s="2"/>
      <c r="X29" s="7">
        <f t="shared" si="18"/>
        <v>-7908</v>
      </c>
      <c r="Y29" s="2"/>
      <c r="Z29" s="6">
        <f t="shared" si="19"/>
        <v>-1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21.17</v>
      </c>
      <c r="E30" s="2"/>
      <c r="F30" s="6">
        <f t="shared" si="12"/>
        <v>8.1958803796353477E-4</v>
      </c>
      <c r="G30" s="2"/>
      <c r="H30" s="7">
        <v>48.277626923076902</v>
      </c>
      <c r="I30" s="2"/>
      <c r="J30" s="6">
        <f t="shared" si="13"/>
        <v>9.3282890062752451E-4</v>
      </c>
      <c r="K30" s="2"/>
      <c r="L30" s="7">
        <f t="shared" si="14"/>
        <v>-27.1076269230769</v>
      </c>
      <c r="M30" s="2"/>
      <c r="N30" s="6">
        <f t="shared" si="15"/>
        <v>-0.56149460217398017</v>
      </c>
      <c r="O30" s="11"/>
      <c r="P30" s="7">
        <v>39.85</v>
      </c>
      <c r="Q30" s="2"/>
      <c r="R30" s="6">
        <f t="shared" si="16"/>
        <v>8.1982237936113105E-4</v>
      </c>
      <c r="S30" s="2"/>
      <c r="T30" s="7">
        <v>125.298276923077</v>
      </c>
      <c r="U30" s="2"/>
      <c r="V30" s="6">
        <f t="shared" si="17"/>
        <v>1.1846408392163772E-3</v>
      </c>
      <c r="W30" s="2"/>
      <c r="X30" s="7">
        <f t="shared" si="18"/>
        <v>-85.448276923077003</v>
      </c>
      <c r="Y30" s="2"/>
      <c r="Z30" s="6">
        <f t="shared" si="19"/>
        <v>-0.68195891453108592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2"/>
        <v>0</v>
      </c>
      <c r="G31" s="2"/>
      <c r="H31" s="7">
        <v>497.41076923076901</v>
      </c>
      <c r="I31" s="2"/>
      <c r="J31" s="6">
        <f t="shared" si="13"/>
        <v>9.6110594201562968E-3</v>
      </c>
      <c r="K31" s="2"/>
      <c r="L31" s="7">
        <f t="shared" si="14"/>
        <v>-497.41076923076901</v>
      </c>
      <c r="M31" s="2"/>
      <c r="N31" s="6">
        <f t="shared" si="15"/>
        <v>-1</v>
      </c>
      <c r="O31" s="11"/>
      <c r="P31" s="7"/>
      <c r="Q31" s="2"/>
      <c r="R31" s="6">
        <f t="shared" si="16"/>
        <v>0</v>
      </c>
      <c r="S31" s="2"/>
      <c r="T31" s="7">
        <v>1790.6787692307701</v>
      </c>
      <c r="U31" s="2"/>
      <c r="V31" s="6">
        <f t="shared" si="17"/>
        <v>1.6930090756561659E-2</v>
      </c>
      <c r="W31" s="2"/>
      <c r="X31" s="7">
        <f t="shared" si="18"/>
        <v>-1790.6787692307701</v>
      </c>
      <c r="Y31" s="2"/>
      <c r="Z31" s="6">
        <f t="shared" si="19"/>
        <v>-1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2"/>
        <v>0</v>
      </c>
      <c r="G33" s="2"/>
      <c r="H33" s="7">
        <v>289.19230769230802</v>
      </c>
      <c r="I33" s="2"/>
      <c r="J33" s="6">
        <f t="shared" si="13"/>
        <v>5.5878252442769262E-3</v>
      </c>
      <c r="K33" s="2"/>
      <c r="L33" s="7">
        <f t="shared" si="14"/>
        <v>-289.19230769230802</v>
      </c>
      <c r="M33" s="2"/>
      <c r="N33" s="6">
        <f t="shared" si="15"/>
        <v>-1</v>
      </c>
      <c r="O33" s="11"/>
      <c r="P33" s="7"/>
      <c r="Q33" s="2"/>
      <c r="R33" s="6">
        <f t="shared" si="16"/>
        <v>0</v>
      </c>
      <c r="S33" s="2"/>
      <c r="T33" s="7">
        <v>1041.09230769231</v>
      </c>
      <c r="U33" s="2"/>
      <c r="V33" s="6">
        <f t="shared" si="17"/>
        <v>9.8430760212567959E-3</v>
      </c>
      <c r="W33" s="2"/>
      <c r="X33" s="7">
        <f t="shared" si="18"/>
        <v>-1041.09230769231</v>
      </c>
      <c r="Y33" s="2"/>
      <c r="Z33" s="6">
        <f t="shared" si="19"/>
        <v>-1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2"/>
        <v>0</v>
      </c>
      <c r="G34" s="2"/>
      <c r="H34" s="7">
        <v>805.35730769230804</v>
      </c>
      <c r="I34" s="2"/>
      <c r="J34" s="6">
        <f t="shared" si="13"/>
        <v>1.5561257249532558E-2</v>
      </c>
      <c r="K34" s="2"/>
      <c r="L34" s="7">
        <f t="shared" si="14"/>
        <v>-805.35730769230804</v>
      </c>
      <c r="M34" s="2"/>
      <c r="N34" s="6">
        <f t="shared" si="15"/>
        <v>-1</v>
      </c>
      <c r="O34" s="11"/>
      <c r="P34" s="7"/>
      <c r="Q34" s="2"/>
      <c r="R34" s="6">
        <f t="shared" si="16"/>
        <v>0</v>
      </c>
      <c r="S34" s="2"/>
      <c r="T34" s="7">
        <v>2206.4123076923102</v>
      </c>
      <c r="U34" s="2"/>
      <c r="V34" s="6">
        <f t="shared" si="17"/>
        <v>2.0860670968736682E-2</v>
      </c>
      <c r="W34" s="2"/>
      <c r="X34" s="7">
        <f t="shared" si="18"/>
        <v>-2206.4123076923102</v>
      </c>
      <c r="Y34" s="2"/>
      <c r="Z34" s="6">
        <f t="shared" si="19"/>
        <v>-1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7">
        <v>40</v>
      </c>
      <c r="E35" s="2"/>
      <c r="F35" s="6">
        <f t="shared" si="12"/>
        <v>1.5485839167945863E-3</v>
      </c>
      <c r="G35" s="2"/>
      <c r="H35" s="7"/>
      <c r="I35" s="2"/>
      <c r="J35" s="6">
        <f t="shared" si="13"/>
        <v>0</v>
      </c>
      <c r="K35" s="2"/>
      <c r="L35" s="7">
        <f t="shared" si="14"/>
        <v>40</v>
      </c>
      <c r="M35" s="2"/>
      <c r="N35" s="6">
        <f t="shared" si="15"/>
        <v>0</v>
      </c>
      <c r="O35" s="11"/>
      <c r="P35" s="7">
        <v>118.08</v>
      </c>
      <c r="Q35" s="2"/>
      <c r="R35" s="6">
        <f t="shared" si="16"/>
        <v>2.4292252585937854E-3</v>
      </c>
      <c r="S35" s="2"/>
      <c r="T35" s="7"/>
      <c r="U35" s="2"/>
      <c r="V35" s="6">
        <f t="shared" si="17"/>
        <v>0</v>
      </c>
      <c r="W35" s="2"/>
      <c r="X35" s="7">
        <f t="shared" si="18"/>
        <v>118.08</v>
      </c>
      <c r="Y35" s="2"/>
      <c r="Z35" s="6">
        <f t="shared" si="19"/>
        <v>0</v>
      </c>
    </row>
    <row r="36" spans="1:26" s="28" customFormat="1" outlineLevel="1" collapsed="1" x14ac:dyDescent="0.25">
      <c r="A36" s="29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6310.97</v>
      </c>
      <c r="E36" s="1"/>
      <c r="F36" s="5">
        <f t="shared" ref="F36:F46" si="20">IF(D$12=0,0,D36/D$12)</f>
        <v>0.24432666603432826</v>
      </c>
      <c r="G36" s="1"/>
      <c r="H36" s="1">
        <f>SUM(OSRRefH22_1x_0)</f>
        <v>21894.796538461538</v>
      </c>
      <c r="I36" s="1"/>
      <c r="J36" s="5">
        <f t="shared" ref="J36:J46" si="21">IF(H$12=0,0,H36/H$12)</f>
        <v>0.42305515590025</v>
      </c>
      <c r="K36" s="1"/>
      <c r="L36" s="1">
        <f t="shared" ref="L36:L46" si="22">+D36-H36</f>
        <v>-15583.826538461537</v>
      </c>
      <c r="M36" s="1"/>
      <c r="N36" s="5">
        <f t="shared" ref="N36:N46" si="23">IF(H36=0,0,L36/H36)</f>
        <v>-0.71175936762354364</v>
      </c>
      <c r="O36" s="14"/>
      <c r="P36" s="1">
        <f>SUM(OSRRefP22_1x_0)</f>
        <v>14371.759999999998</v>
      </c>
      <c r="Q36" s="1"/>
      <c r="R36" s="5">
        <f t="shared" ref="R36:R46" si="24">IF(P$12=0,0,P36/P$12)</f>
        <v>0.295666009505825</v>
      </c>
      <c r="S36" s="1"/>
      <c r="T36" s="1">
        <f>SUM(OSRRefT22_1x_0)</f>
        <v>56418.3415384615</v>
      </c>
      <c r="U36" s="1"/>
      <c r="V36" s="5">
        <f t="shared" ref="V36:V46" si="25">IF(T$12=0,0,T36/T$12)</f>
        <v>0.53341093835113784</v>
      </c>
      <c r="W36" s="1"/>
      <c r="X36" s="1">
        <f t="shared" ref="X36:X46" si="26">+P36-T36</f>
        <v>-42046.581538461498</v>
      </c>
      <c r="Y36" s="1"/>
      <c r="Z36" s="5">
        <f t="shared" ref="Z36:Z46" si="27">IF(T36=0,0,X36/T36)</f>
        <v>-0.7452644014676949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7"/>
      <c r="E38" s="2"/>
      <c r="F38" s="6">
        <f t="shared" si="20"/>
        <v>0</v>
      </c>
      <c r="G38" s="2"/>
      <c r="H38" s="7">
        <v>5205.4615384615399</v>
      </c>
      <c r="I38" s="2"/>
      <c r="J38" s="6">
        <f t="shared" si="21"/>
        <v>0.10058085439698458</v>
      </c>
      <c r="K38" s="2"/>
      <c r="L38" s="7">
        <f t="shared" si="22"/>
        <v>-5205.4615384615399</v>
      </c>
      <c r="M38" s="2"/>
      <c r="N38" s="6">
        <f t="shared" si="23"/>
        <v>-1</v>
      </c>
      <c r="O38" s="11"/>
      <c r="P38" s="7"/>
      <c r="Q38" s="2"/>
      <c r="R38" s="6">
        <f t="shared" si="24"/>
        <v>0</v>
      </c>
      <c r="S38" s="2"/>
      <c r="T38" s="7">
        <v>18739.6615384615</v>
      </c>
      <c r="U38" s="2"/>
      <c r="V38" s="6">
        <f t="shared" si="25"/>
        <v>0.17717536838262157</v>
      </c>
      <c r="W38" s="2"/>
      <c r="X38" s="7">
        <f t="shared" si="26"/>
        <v>-18739.6615384615</v>
      </c>
      <c r="Y38" s="2"/>
      <c r="Z38" s="6">
        <f t="shared" si="27"/>
        <v>-1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0"/>
        <v>0</v>
      </c>
      <c r="G40" s="2"/>
      <c r="H40" s="7">
        <v>4372.2749999999996</v>
      </c>
      <c r="I40" s="2"/>
      <c r="J40" s="6">
        <f t="shared" si="21"/>
        <v>8.4481875797039835E-2</v>
      </c>
      <c r="K40" s="2"/>
      <c r="L40" s="7">
        <f t="shared" si="22"/>
        <v>-4372.2749999999996</v>
      </c>
      <c r="M40" s="2"/>
      <c r="N40" s="6">
        <f t="shared" si="23"/>
        <v>-1</v>
      </c>
      <c r="O40" s="11"/>
      <c r="P40" s="7"/>
      <c r="Q40" s="2"/>
      <c r="R40" s="6">
        <f t="shared" si="24"/>
        <v>0</v>
      </c>
      <c r="S40" s="2"/>
      <c r="T40" s="7">
        <v>11829.15</v>
      </c>
      <c r="U40" s="2"/>
      <c r="V40" s="6">
        <f t="shared" si="25"/>
        <v>0.11183948037704809</v>
      </c>
      <c r="W40" s="2"/>
      <c r="X40" s="7">
        <f t="shared" si="26"/>
        <v>-11829.15</v>
      </c>
      <c r="Y40" s="2"/>
      <c r="Z40" s="6">
        <f t="shared" si="27"/>
        <v>-1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7">
        <v>4693.5</v>
      </c>
      <c r="E41" s="2"/>
      <c r="F41" s="6">
        <f t="shared" si="20"/>
        <v>0.18170696533688477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4693.5</v>
      </c>
      <c r="M41" s="2"/>
      <c r="N41" s="6">
        <f t="shared" si="23"/>
        <v>0</v>
      </c>
      <c r="O41" s="11"/>
      <c r="P41" s="7">
        <v>8180.4</v>
      </c>
      <c r="Q41" s="2"/>
      <c r="R41" s="6">
        <f t="shared" si="24"/>
        <v>0.16829297345359587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8180.4</v>
      </c>
      <c r="Y41" s="2"/>
      <c r="Z41" s="6">
        <f t="shared" si="27"/>
        <v>0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7">
        <v>1617.47</v>
      </c>
      <c r="E43" s="2"/>
      <c r="F43" s="6">
        <f t="shared" si="20"/>
        <v>6.2619700697443478E-2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1617.47</v>
      </c>
      <c r="M43" s="2"/>
      <c r="N43" s="6">
        <f t="shared" si="23"/>
        <v>0</v>
      </c>
      <c r="O43" s="11"/>
      <c r="P43" s="7">
        <v>6191.36</v>
      </c>
      <c r="Q43" s="2"/>
      <c r="R43" s="6">
        <f t="shared" si="24"/>
        <v>0.12737303605222916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6191.36</v>
      </c>
      <c r="Y43" s="2"/>
      <c r="Z43" s="6">
        <f t="shared" si="27"/>
        <v>0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12317.06</v>
      </c>
      <c r="I44" s="2"/>
      <c r="J44" s="6">
        <f t="shared" si="21"/>
        <v>0.23799242570622559</v>
      </c>
      <c r="K44" s="2"/>
      <c r="L44" s="7">
        <f t="shared" si="22"/>
        <v>-12317.06</v>
      </c>
      <c r="M44" s="2"/>
      <c r="N44" s="6">
        <f t="shared" si="23"/>
        <v>-1</v>
      </c>
      <c r="O44" s="11"/>
      <c r="P44" s="7"/>
      <c r="Q44" s="2"/>
      <c r="R44" s="6">
        <f t="shared" si="24"/>
        <v>0</v>
      </c>
      <c r="S44" s="2"/>
      <c r="T44" s="7">
        <v>25849.53</v>
      </c>
      <c r="U44" s="2"/>
      <c r="V44" s="6">
        <f t="shared" si="25"/>
        <v>0.24439608959146819</v>
      </c>
      <c r="W44" s="2"/>
      <c r="X44" s="7">
        <f t="shared" si="26"/>
        <v>-25849.53</v>
      </c>
      <c r="Y44" s="2"/>
      <c r="Z44" s="6">
        <f t="shared" si="27"/>
        <v>-1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8" customFormat="1" outlineLevel="1" collapsed="1" x14ac:dyDescent="0.25">
      <c r="A47" s="29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0</v>
      </c>
      <c r="E47" s="1"/>
      <c r="F47" s="5">
        <f t="shared" ref="F47:F55" si="28">IF(D$12=0,0,D47/D$12)</f>
        <v>0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0</v>
      </c>
      <c r="M47" s="1"/>
      <c r="N47" s="5">
        <f t="shared" ref="N47:N55" si="31">IF(H47=0,0,L47/H47)</f>
        <v>0</v>
      </c>
      <c r="O47" s="14"/>
      <c r="P47" s="1">
        <f>SUM(OSRRefP22_2x_0)</f>
        <v>87.97</v>
      </c>
      <c r="Q47" s="1"/>
      <c r="R47" s="5">
        <f t="shared" ref="R47:R55" si="32">IF(P$12=0,0,P47/P$12)</f>
        <v>1.8097810467352243E-3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87.97</v>
      </c>
      <c r="Y47" s="1"/>
      <c r="Z47" s="5">
        <f t="shared" ref="Z47:Z55" si="35">IF(T47=0,0,X47/T47)</f>
        <v>0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7"/>
      <c r="E48" s="2"/>
      <c r="F48" s="6">
        <f t="shared" si="28"/>
        <v>0</v>
      </c>
      <c r="G48" s="2"/>
      <c r="H48" s="7">
        <v>0</v>
      </c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87.97</v>
      </c>
      <c r="Q48" s="2"/>
      <c r="R48" s="6">
        <f t="shared" si="32"/>
        <v>1.8097810467352243E-3</v>
      </c>
      <c r="S48" s="2"/>
      <c r="T48" s="7">
        <v>0</v>
      </c>
      <c r="U48" s="2"/>
      <c r="V48" s="6">
        <f t="shared" si="33"/>
        <v>0</v>
      </c>
      <c r="W48" s="2"/>
      <c r="X48" s="7">
        <f t="shared" si="34"/>
        <v>87.97</v>
      </c>
      <c r="Y48" s="2"/>
      <c r="Z48" s="6">
        <f t="shared" si="35"/>
        <v>0</v>
      </c>
    </row>
    <row r="49" spans="1:26" s="28" customFormat="1" outlineLevel="1" collapsed="1" x14ac:dyDescent="0.25">
      <c r="A49" s="29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-7.31</v>
      </c>
      <c r="E49" s="1"/>
      <c r="F49" s="5">
        <f t="shared" si="28"/>
        <v>-2.8300371079421059E-4</v>
      </c>
      <c r="G49" s="1"/>
      <c r="H49" s="1">
        <f>SUM(OSRRefH22_3x_0)</f>
        <v>0</v>
      </c>
      <c r="I49" s="1"/>
      <c r="J49" s="5">
        <f t="shared" si="29"/>
        <v>0</v>
      </c>
      <c r="K49" s="1"/>
      <c r="L49" s="1">
        <f t="shared" si="30"/>
        <v>-7.31</v>
      </c>
      <c r="M49" s="1"/>
      <c r="N49" s="5">
        <f t="shared" si="31"/>
        <v>0</v>
      </c>
      <c r="O49" s="14"/>
      <c r="P49" s="1">
        <f>SUM(OSRRefP22_3x_0)</f>
        <v>7.18</v>
      </c>
      <c r="Q49" s="1"/>
      <c r="R49" s="5">
        <f t="shared" si="32"/>
        <v>1.4771203723495409E-4</v>
      </c>
      <c r="S49" s="1"/>
      <c r="T49" s="1">
        <f>SUM(OSRRefT22_3x_0)</f>
        <v>0</v>
      </c>
      <c r="U49" s="1"/>
      <c r="V49" s="5">
        <f t="shared" si="33"/>
        <v>0</v>
      </c>
      <c r="W49" s="1"/>
      <c r="X49" s="1">
        <f t="shared" si="34"/>
        <v>7.18</v>
      </c>
      <c r="Y49" s="1"/>
      <c r="Z49" s="5">
        <f t="shared" si="35"/>
        <v>0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7">
        <v>-7.31</v>
      </c>
      <c r="E50" s="2"/>
      <c r="F50" s="6">
        <f t="shared" si="28"/>
        <v>-2.8300371079421059E-4</v>
      </c>
      <c r="G50" s="2"/>
      <c r="H50" s="7">
        <v>0</v>
      </c>
      <c r="I50" s="2"/>
      <c r="J50" s="6">
        <f t="shared" si="29"/>
        <v>0</v>
      </c>
      <c r="K50" s="2"/>
      <c r="L50" s="7">
        <f t="shared" si="30"/>
        <v>-7.31</v>
      </c>
      <c r="M50" s="2"/>
      <c r="N50" s="6">
        <f t="shared" si="31"/>
        <v>0</v>
      </c>
      <c r="O50" s="11"/>
      <c r="P50" s="7">
        <v>7.18</v>
      </c>
      <c r="Q50" s="2"/>
      <c r="R50" s="6">
        <f t="shared" si="32"/>
        <v>1.4771203723495409E-4</v>
      </c>
      <c r="S50" s="2"/>
      <c r="T50" s="7">
        <v>0</v>
      </c>
      <c r="U50" s="2"/>
      <c r="V50" s="6">
        <f t="shared" si="33"/>
        <v>0</v>
      </c>
      <c r="W50" s="2"/>
      <c r="X50" s="7">
        <f t="shared" si="34"/>
        <v>7.18</v>
      </c>
      <c r="Y50" s="2"/>
      <c r="Z50" s="6">
        <f t="shared" si="35"/>
        <v>0</v>
      </c>
    </row>
    <row r="51" spans="1:26" s="28" customFormat="1" outlineLevel="1" collapsed="1" x14ac:dyDescent="0.25">
      <c r="A51" s="29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1114.23</v>
      </c>
      <c r="E51" s="1"/>
      <c r="F51" s="5">
        <f t="shared" si="28"/>
        <v>4.3136966440250793E-2</v>
      </c>
      <c r="G51" s="1"/>
      <c r="H51" s="1">
        <f>SUM(OSRRefH22_4x_0)</f>
        <v>2199.5</v>
      </c>
      <c r="I51" s="1"/>
      <c r="J51" s="5">
        <f t="shared" si="29"/>
        <v>4.2499130501990182E-2</v>
      </c>
      <c r="K51" s="1"/>
      <c r="L51" s="1">
        <f t="shared" si="30"/>
        <v>-1085.27</v>
      </c>
      <c r="M51" s="1"/>
      <c r="N51" s="5">
        <f t="shared" si="31"/>
        <v>-0.493416685610366</v>
      </c>
      <c r="O51" s="14"/>
      <c r="P51" s="1">
        <f>SUM(OSRRefP22_4x_0)</f>
        <v>2651.19</v>
      </c>
      <c r="Q51" s="1"/>
      <c r="R51" s="5">
        <f t="shared" si="32"/>
        <v>5.4542155431328405E-2</v>
      </c>
      <c r="S51" s="1"/>
      <c r="T51" s="1">
        <f>SUM(OSRRefT22_4x_0)</f>
        <v>4326.25</v>
      </c>
      <c r="U51" s="1"/>
      <c r="V51" s="5">
        <f t="shared" si="33"/>
        <v>4.0902816515236036E-2</v>
      </c>
      <c r="W51" s="1"/>
      <c r="X51" s="1">
        <f t="shared" si="34"/>
        <v>-1675.06</v>
      </c>
      <c r="Y51" s="1"/>
      <c r="Z51" s="5">
        <f t="shared" si="35"/>
        <v>-0.3871852065876914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7">
        <v>1114.23</v>
      </c>
      <c r="E52" s="2"/>
      <c r="F52" s="6">
        <f t="shared" si="28"/>
        <v>4.3136966440250793E-2</v>
      </c>
      <c r="G52" s="2"/>
      <c r="H52" s="7">
        <v>2199.5</v>
      </c>
      <c r="I52" s="2"/>
      <c r="J52" s="6">
        <f t="shared" si="29"/>
        <v>4.2499130501990182E-2</v>
      </c>
      <c r="K52" s="2"/>
      <c r="L52" s="7">
        <f t="shared" si="30"/>
        <v>-1085.27</v>
      </c>
      <c r="M52" s="2"/>
      <c r="N52" s="6">
        <f t="shared" si="31"/>
        <v>-0.493416685610366</v>
      </c>
      <c r="O52" s="11"/>
      <c r="P52" s="7">
        <v>2651.19</v>
      </c>
      <c r="Q52" s="2"/>
      <c r="R52" s="6">
        <f t="shared" si="32"/>
        <v>5.4542155431328405E-2</v>
      </c>
      <c r="S52" s="2"/>
      <c r="T52" s="7">
        <v>4326.25</v>
      </c>
      <c r="U52" s="2"/>
      <c r="V52" s="6">
        <f t="shared" si="33"/>
        <v>4.0902816515236036E-2</v>
      </c>
      <c r="W52" s="2"/>
      <c r="X52" s="7">
        <f t="shared" si="34"/>
        <v>-1675.06</v>
      </c>
      <c r="Y52" s="2"/>
      <c r="Z52" s="6">
        <f t="shared" si="35"/>
        <v>-0.3871852065876914</v>
      </c>
    </row>
    <row r="53" spans="1:26" s="28" customFormat="1" outlineLevel="1" collapsed="1" x14ac:dyDescent="0.25">
      <c r="A53" s="29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6324.75</v>
      </c>
      <c r="E53" s="1"/>
      <c r="F53" s="5">
        <f t="shared" si="28"/>
        <v>0.24486015319366397</v>
      </c>
      <c r="G53" s="1"/>
      <c r="H53" s="1">
        <f>SUM(OSRRefH22_5x_0)</f>
        <v>6324</v>
      </c>
      <c r="I53" s="1"/>
      <c r="J53" s="5">
        <f t="shared" si="29"/>
        <v>0.12219345364609499</v>
      </c>
      <c r="K53" s="1"/>
      <c r="L53" s="1">
        <f t="shared" si="30"/>
        <v>0.75</v>
      </c>
      <c r="M53" s="1"/>
      <c r="N53" s="5">
        <f t="shared" si="31"/>
        <v>1.1859582542694497E-4</v>
      </c>
      <c r="O53" s="14"/>
      <c r="P53" s="1">
        <f>SUM(OSRRefP22_5x_0)</f>
        <v>27731.360000000001</v>
      </c>
      <c r="Q53" s="1"/>
      <c r="R53" s="5">
        <f t="shared" si="32"/>
        <v>0.57050914775709138</v>
      </c>
      <c r="S53" s="1"/>
      <c r="T53" s="1">
        <f>SUM(OSRRefT22_5x_0)</f>
        <v>27726</v>
      </c>
      <c r="U53" s="1"/>
      <c r="V53" s="5">
        <f t="shared" si="33"/>
        <v>0.26213729920865281</v>
      </c>
      <c r="W53" s="1"/>
      <c r="X53" s="1">
        <f t="shared" si="34"/>
        <v>5.3600000000005821</v>
      </c>
      <c r="Y53" s="1"/>
      <c r="Z53" s="5">
        <f t="shared" si="35"/>
        <v>1.9332034913080077E-4</v>
      </c>
    </row>
    <row r="54" spans="1:26" s="24" customFormat="1" hidden="1" outlineLevel="2" x14ac:dyDescent="0.25">
      <c r="A54" s="27"/>
      <c r="B54" s="11" t="str">
        <f>CONCATENATE("          ", "6321", " - ", "BUILDING DEPRECIATION")</f>
        <v xml:space="preserve">          6321 - BUILDING DEPRECIATION</v>
      </c>
      <c r="C54" s="11"/>
      <c r="D54" s="7">
        <v>5080.51</v>
      </c>
      <c r="E54" s="2"/>
      <c r="F54" s="6">
        <f t="shared" si="28"/>
        <v>0.1966899018778516</v>
      </c>
      <c r="G54" s="2"/>
      <c r="H54" s="7"/>
      <c r="I54" s="2"/>
      <c r="J54" s="6">
        <f t="shared" si="29"/>
        <v>0</v>
      </c>
      <c r="K54" s="2"/>
      <c r="L54" s="7">
        <f t="shared" si="30"/>
        <v>5080.51</v>
      </c>
      <c r="M54" s="2"/>
      <c r="N54" s="6">
        <f t="shared" si="31"/>
        <v>0</v>
      </c>
      <c r="O54" s="11"/>
      <c r="P54" s="7">
        <v>20322.04</v>
      </c>
      <c r="Q54" s="2"/>
      <c r="R54" s="6">
        <f t="shared" si="32"/>
        <v>0.41807937732175854</v>
      </c>
      <c r="S54" s="2"/>
      <c r="T54" s="7"/>
      <c r="U54" s="2"/>
      <c r="V54" s="6">
        <f t="shared" si="33"/>
        <v>0</v>
      </c>
      <c r="W54" s="2"/>
      <c r="X54" s="7">
        <f t="shared" si="34"/>
        <v>20322.04</v>
      </c>
      <c r="Y54" s="2"/>
      <c r="Z54" s="6">
        <f t="shared" si="35"/>
        <v>0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1244.24</v>
      </c>
      <c r="E55" s="2"/>
      <c r="F55" s="6">
        <f t="shared" si="28"/>
        <v>4.8170251315812401E-2</v>
      </c>
      <c r="G55" s="2"/>
      <c r="H55" s="7">
        <v>6324</v>
      </c>
      <c r="I55" s="2"/>
      <c r="J55" s="6">
        <f t="shared" si="29"/>
        <v>0.12219345364609499</v>
      </c>
      <c r="K55" s="2"/>
      <c r="L55" s="7">
        <f t="shared" si="30"/>
        <v>-5079.76</v>
      </c>
      <c r="M55" s="2"/>
      <c r="N55" s="6">
        <f t="shared" si="31"/>
        <v>-0.80325110689437074</v>
      </c>
      <c r="O55" s="11"/>
      <c r="P55" s="7">
        <v>7409.32</v>
      </c>
      <c r="Q55" s="2"/>
      <c r="R55" s="6">
        <f t="shared" si="32"/>
        <v>0.15242977043533287</v>
      </c>
      <c r="S55" s="2"/>
      <c r="T55" s="7">
        <v>27726</v>
      </c>
      <c r="U55" s="2"/>
      <c r="V55" s="6">
        <f t="shared" si="33"/>
        <v>0.26213729920865281</v>
      </c>
      <c r="W55" s="2"/>
      <c r="X55" s="7">
        <f t="shared" si="34"/>
        <v>-20316.68</v>
      </c>
      <c r="Y55" s="2"/>
      <c r="Z55" s="6">
        <f t="shared" si="35"/>
        <v>-0.73276635648849453</v>
      </c>
    </row>
    <row r="56" spans="1:26" s="28" customFormat="1" outlineLevel="1" collapsed="1" x14ac:dyDescent="0.25">
      <c r="A56" s="29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SUM(OSRRefD22_6x_0)</f>
        <v>0</v>
      </c>
      <c r="E56" s="1"/>
      <c r="F56" s="5">
        <f t="shared" ref="F56:F67" si="36">IF(D$12=0,0,D56/D$12)</f>
        <v>0</v>
      </c>
      <c r="G56" s="1"/>
      <c r="H56" s="1">
        <f>SUM(OSRRefH22_6x_0)</f>
        <v>176</v>
      </c>
      <c r="I56" s="1"/>
      <c r="J56" s="5">
        <f t="shared" ref="J56:J67" si="37">IF(H$12=0,0,H56/H$12)</f>
        <v>3.4007033272790508E-3</v>
      </c>
      <c r="K56" s="1"/>
      <c r="L56" s="1">
        <f t="shared" ref="L56:L67" si="38">+D56-H56</f>
        <v>-176</v>
      </c>
      <c r="M56" s="1"/>
      <c r="N56" s="5">
        <f t="shared" ref="N56:N67" si="39">IF(H56=0,0,L56/H56)</f>
        <v>-1</v>
      </c>
      <c r="O56" s="14"/>
      <c r="P56" s="1">
        <f>SUM(OSRRefP22_6x_0)</f>
        <v>0</v>
      </c>
      <c r="Q56" s="1"/>
      <c r="R56" s="5">
        <f t="shared" ref="R56:R67" si="40">IF(P$12=0,0,P56/P$12)</f>
        <v>0</v>
      </c>
      <c r="S56" s="1"/>
      <c r="T56" s="1">
        <f>SUM(OSRRefT22_6x_0)</f>
        <v>704</v>
      </c>
      <c r="U56" s="1"/>
      <c r="V56" s="5">
        <f t="shared" ref="V56:V67" si="41">IF(T$12=0,0,T56/T$12)</f>
        <v>6.6560145222135034E-3</v>
      </c>
      <c r="W56" s="1"/>
      <c r="X56" s="1">
        <f t="shared" ref="X56:X67" si="42">+P56-T56</f>
        <v>-704</v>
      </c>
      <c r="Y56" s="1"/>
      <c r="Z56" s="5">
        <f t="shared" ref="Z56:Z67" si="43">IF(T56=0,0,X56/T56)</f>
        <v>-1</v>
      </c>
    </row>
    <row r="57" spans="1:26" s="24" customFormat="1" hidden="1" outlineLevel="2" x14ac:dyDescent="0.25">
      <c r="A57" s="27"/>
      <c r="B57" s="11" t="str">
        <f>CONCATENATE("          ", "6351", " - ", "EQUIPMENT RENTAL")</f>
        <v xml:space="preserve">          6351 - EQUIPMENT RENTAL</v>
      </c>
      <c r="C57" s="11"/>
      <c r="D57" s="7"/>
      <c r="E57" s="2"/>
      <c r="F57" s="6">
        <f t="shared" si="36"/>
        <v>0</v>
      </c>
      <c r="G57" s="2"/>
      <c r="H57" s="7">
        <v>176</v>
      </c>
      <c r="I57" s="2"/>
      <c r="J57" s="6">
        <f t="shared" si="37"/>
        <v>3.4007033272790508E-3</v>
      </c>
      <c r="K57" s="2"/>
      <c r="L57" s="7">
        <f t="shared" si="38"/>
        <v>-176</v>
      </c>
      <c r="M57" s="2"/>
      <c r="N57" s="6">
        <f t="shared" si="39"/>
        <v>-1</v>
      </c>
      <c r="O57" s="11"/>
      <c r="P57" s="7"/>
      <c r="Q57" s="2"/>
      <c r="R57" s="6">
        <f t="shared" si="40"/>
        <v>0</v>
      </c>
      <c r="S57" s="2"/>
      <c r="T57" s="7">
        <v>704</v>
      </c>
      <c r="U57" s="2"/>
      <c r="V57" s="6">
        <f t="shared" si="41"/>
        <v>6.6560145222135034E-3</v>
      </c>
      <c r="W57" s="2"/>
      <c r="X57" s="7">
        <f t="shared" si="42"/>
        <v>-704</v>
      </c>
      <c r="Y57" s="2"/>
      <c r="Z57" s="6">
        <f t="shared" si="43"/>
        <v>-1</v>
      </c>
    </row>
    <row r="58" spans="1:26" s="28" customFormat="1" outlineLevel="1" collapsed="1" x14ac:dyDescent="0.25">
      <c r="A58" s="29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4"/>
      <c r="P58" s="1">
        <f>SUM(OSRRefP22_7x_0)</f>
        <v>1612</v>
      </c>
      <c r="Q58" s="1"/>
      <c r="R58" s="5">
        <f t="shared" si="40"/>
        <v>3.3163203902889411E-2</v>
      </c>
      <c r="S58" s="1"/>
      <c r="T58" s="1">
        <f>SUM(OSRRefT22_7x_0)</f>
        <v>300</v>
      </c>
      <c r="U58" s="1"/>
      <c r="V58" s="5">
        <f t="shared" si="41"/>
        <v>2.8363698248068904E-3</v>
      </c>
      <c r="W58" s="1"/>
      <c r="X58" s="1">
        <f t="shared" si="42"/>
        <v>1312</v>
      </c>
      <c r="Y58" s="1"/>
      <c r="Z58" s="5">
        <f t="shared" si="43"/>
        <v>4.3733333333333331</v>
      </c>
    </row>
    <row r="59" spans="1:26" s="24" customFormat="1" hidden="1" outlineLevel="2" x14ac:dyDescent="0.25">
      <c r="A59" s="27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1612</v>
      </c>
      <c r="Q59" s="2"/>
      <c r="R59" s="6">
        <f t="shared" si="40"/>
        <v>3.3163203902889411E-2</v>
      </c>
      <c r="S59" s="2"/>
      <c r="T59" s="7">
        <v>300</v>
      </c>
      <c r="U59" s="2"/>
      <c r="V59" s="6">
        <f t="shared" si="41"/>
        <v>2.8363698248068904E-3</v>
      </c>
      <c r="W59" s="2"/>
      <c r="X59" s="7">
        <f t="shared" si="42"/>
        <v>1312</v>
      </c>
      <c r="Y59" s="2"/>
      <c r="Z59" s="6">
        <f t="shared" si="43"/>
        <v>4.3733333333333331</v>
      </c>
    </row>
    <row r="60" spans="1:26" s="28" customFormat="1" outlineLevel="1" collapsed="1" x14ac:dyDescent="0.25">
      <c r="A60" s="29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SUM(OSRRefD22_8x_0)</f>
        <v>331.01</v>
      </c>
      <c r="E60" s="1"/>
      <c r="F60" s="5">
        <f t="shared" si="36"/>
        <v>1.28149190574544E-2</v>
      </c>
      <c r="G60" s="1"/>
      <c r="H60" s="1">
        <f>SUM(OSRRefH22_8x_0)</f>
        <v>330</v>
      </c>
      <c r="I60" s="1"/>
      <c r="J60" s="5">
        <f t="shared" si="37"/>
        <v>6.3763187386482205E-3</v>
      </c>
      <c r="K60" s="1"/>
      <c r="L60" s="1">
        <f t="shared" si="38"/>
        <v>1.0099999999999909</v>
      </c>
      <c r="M60" s="1"/>
      <c r="N60" s="5">
        <f t="shared" si="39"/>
        <v>3.0606060606060332E-3</v>
      </c>
      <c r="O60" s="14"/>
      <c r="P60" s="1">
        <f>SUM(OSRRefP22_8x_0)</f>
        <v>1324.04</v>
      </c>
      <c r="Q60" s="1"/>
      <c r="R60" s="5">
        <f t="shared" si="40"/>
        <v>2.7239087156068049E-2</v>
      </c>
      <c r="S60" s="1"/>
      <c r="T60" s="1">
        <f>SUM(OSRRefT22_8x_0)</f>
        <v>1320</v>
      </c>
      <c r="U60" s="1"/>
      <c r="V60" s="5">
        <f t="shared" si="41"/>
        <v>1.2480027229150318E-2</v>
      </c>
      <c r="W60" s="1"/>
      <c r="X60" s="1">
        <f t="shared" si="42"/>
        <v>4.0399999999999636</v>
      </c>
      <c r="Y60" s="1"/>
      <c r="Z60" s="5">
        <f t="shared" si="43"/>
        <v>3.0606060606060332E-3</v>
      </c>
    </row>
    <row r="61" spans="1:26" s="24" customFormat="1" hidden="1" outlineLevel="2" x14ac:dyDescent="0.25">
      <c r="A61" s="27"/>
      <c r="B61" s="11" t="str">
        <f>CONCATENATE("          ", "6314", " - ", "LIABILITY INSURANCE")</f>
        <v xml:space="preserve">          6314 - LIABILITY INSURANCE</v>
      </c>
      <c r="C61" s="11"/>
      <c r="D61" s="7">
        <v>331.01</v>
      </c>
      <c r="E61" s="2"/>
      <c r="F61" s="6">
        <f t="shared" si="36"/>
        <v>1.28149190574544E-2</v>
      </c>
      <c r="G61" s="2"/>
      <c r="H61" s="7">
        <v>330</v>
      </c>
      <c r="I61" s="2"/>
      <c r="J61" s="6">
        <f t="shared" si="37"/>
        <v>6.3763187386482205E-3</v>
      </c>
      <c r="K61" s="2"/>
      <c r="L61" s="7">
        <f t="shared" si="38"/>
        <v>1.0099999999999909</v>
      </c>
      <c r="M61" s="2"/>
      <c r="N61" s="6">
        <f t="shared" si="39"/>
        <v>3.0606060606060332E-3</v>
      </c>
      <c r="O61" s="11"/>
      <c r="P61" s="7">
        <v>1324.04</v>
      </c>
      <c r="Q61" s="2"/>
      <c r="R61" s="6">
        <f t="shared" si="40"/>
        <v>2.7239087156068049E-2</v>
      </c>
      <c r="S61" s="2"/>
      <c r="T61" s="7">
        <v>1320</v>
      </c>
      <c r="U61" s="2"/>
      <c r="V61" s="6">
        <f t="shared" si="41"/>
        <v>1.2480027229150318E-2</v>
      </c>
      <c r="W61" s="2"/>
      <c r="X61" s="7">
        <f t="shared" si="42"/>
        <v>4.0399999999999636</v>
      </c>
      <c r="Y61" s="2"/>
      <c r="Z61" s="6">
        <f t="shared" si="43"/>
        <v>3.0606060606060332E-3</v>
      </c>
    </row>
    <row r="62" spans="1:26" s="28" customFormat="1" outlineLevel="1" collapsed="1" x14ac:dyDescent="0.25">
      <c r="A62" s="29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SUM(OSRRefD22_9x_0)</f>
        <v>3629</v>
      </c>
      <c r="E62" s="1"/>
      <c r="F62" s="5">
        <f t="shared" si="36"/>
        <v>0.14049527585118884</v>
      </c>
      <c r="G62" s="1"/>
      <c r="H62" s="1">
        <f>SUM(OSRRefH22_9x_0)</f>
        <v>3905</v>
      </c>
      <c r="I62" s="1"/>
      <c r="J62" s="5">
        <f t="shared" si="37"/>
        <v>7.5453105074003948E-2</v>
      </c>
      <c r="K62" s="1"/>
      <c r="L62" s="1">
        <f t="shared" si="38"/>
        <v>-276</v>
      </c>
      <c r="M62" s="1"/>
      <c r="N62" s="5">
        <f t="shared" si="39"/>
        <v>-7.0678617157490395E-2</v>
      </c>
      <c r="O62" s="14"/>
      <c r="P62" s="1">
        <f>SUM(OSRRefP22_9x_0)</f>
        <v>15344</v>
      </c>
      <c r="Q62" s="1"/>
      <c r="R62" s="5">
        <f t="shared" si="40"/>
        <v>0.31566761829152307</v>
      </c>
      <c r="S62" s="1"/>
      <c r="T62" s="1">
        <f>SUM(OSRRefT22_9x_0)</f>
        <v>15620</v>
      </c>
      <c r="U62" s="1"/>
      <c r="V62" s="5">
        <f t="shared" si="41"/>
        <v>0.14768032221161209</v>
      </c>
      <c r="W62" s="1"/>
      <c r="X62" s="1">
        <f t="shared" si="42"/>
        <v>-276</v>
      </c>
      <c r="Y62" s="1"/>
      <c r="Z62" s="5">
        <f t="shared" si="43"/>
        <v>-1.7669654289372599E-2</v>
      </c>
    </row>
    <row r="63" spans="1:26" s="24" customFormat="1" hidden="1" outlineLevel="2" x14ac:dyDescent="0.25">
      <c r="A63" s="27"/>
      <c r="B63" s="11" t="str">
        <f>CONCATENATE("          ", "6401", " - ", "INTEREST EXPENSE")</f>
        <v xml:space="preserve">          6401 - INTEREST EXPENSE</v>
      </c>
      <c r="C63" s="11"/>
      <c r="D63" s="7">
        <v>3629</v>
      </c>
      <c r="E63" s="2"/>
      <c r="F63" s="6">
        <f t="shared" si="36"/>
        <v>0.14049527585118884</v>
      </c>
      <c r="G63" s="2"/>
      <c r="H63" s="7">
        <v>3905</v>
      </c>
      <c r="I63" s="2"/>
      <c r="J63" s="6">
        <f t="shared" si="37"/>
        <v>7.5453105074003948E-2</v>
      </c>
      <c r="K63" s="2"/>
      <c r="L63" s="7">
        <f t="shared" si="38"/>
        <v>-276</v>
      </c>
      <c r="M63" s="2"/>
      <c r="N63" s="6">
        <f t="shared" si="39"/>
        <v>-7.0678617157490395E-2</v>
      </c>
      <c r="O63" s="11"/>
      <c r="P63" s="7">
        <v>15344</v>
      </c>
      <c r="Q63" s="2"/>
      <c r="R63" s="6">
        <f t="shared" si="40"/>
        <v>0.31566761829152307</v>
      </c>
      <c r="S63" s="2"/>
      <c r="T63" s="7">
        <v>15620</v>
      </c>
      <c r="U63" s="2"/>
      <c r="V63" s="6">
        <f t="shared" si="41"/>
        <v>0.14768032221161209</v>
      </c>
      <c r="W63" s="2"/>
      <c r="X63" s="7">
        <f t="shared" si="42"/>
        <v>-276</v>
      </c>
      <c r="Y63" s="2"/>
      <c r="Z63" s="6">
        <f t="shared" si="43"/>
        <v>-1.7669654289372599E-2</v>
      </c>
    </row>
    <row r="64" spans="1:26" s="28" customFormat="1" outlineLevel="1" collapsed="1" x14ac:dyDescent="0.25">
      <c r="A64" s="29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SUM(OSRRefD22_10x_0)</f>
        <v>166.39999999999998</v>
      </c>
      <c r="E64" s="1"/>
      <c r="F64" s="5">
        <f t="shared" si="36"/>
        <v>6.4421090938654776E-3</v>
      </c>
      <c r="G64" s="1"/>
      <c r="H64" s="1">
        <f>SUM(OSRRefH22_10x_0)</f>
        <v>365</v>
      </c>
      <c r="I64" s="1"/>
      <c r="J64" s="5">
        <f t="shared" si="37"/>
        <v>7.0525949685048498E-3</v>
      </c>
      <c r="K64" s="1"/>
      <c r="L64" s="1">
        <f t="shared" si="38"/>
        <v>-198.60000000000002</v>
      </c>
      <c r="M64" s="1"/>
      <c r="N64" s="5">
        <f t="shared" si="39"/>
        <v>-0.54410958904109596</v>
      </c>
      <c r="O64" s="14"/>
      <c r="P64" s="1">
        <f>SUM(OSRRefP22_10x_0)</f>
        <v>2364.83</v>
      </c>
      <c r="Q64" s="1"/>
      <c r="R64" s="5">
        <f t="shared" si="40"/>
        <v>4.8650955015924299E-2</v>
      </c>
      <c r="S64" s="1"/>
      <c r="T64" s="1">
        <f>SUM(OSRRefT22_10x_0)</f>
        <v>5811</v>
      </c>
      <c r="U64" s="1"/>
      <c r="V64" s="5">
        <f t="shared" si="41"/>
        <v>5.4940483506509472E-2</v>
      </c>
      <c r="W64" s="1"/>
      <c r="X64" s="1">
        <f t="shared" si="42"/>
        <v>-3446.17</v>
      </c>
      <c r="Y64" s="1"/>
      <c r="Z64" s="5">
        <f t="shared" si="43"/>
        <v>-0.59304250559284122</v>
      </c>
    </row>
    <row r="65" spans="1:26" s="24" customFormat="1" hidden="1" outlineLevel="2" x14ac:dyDescent="0.25">
      <c r="A65" s="27"/>
      <c r="B65" s="11" t="str">
        <f>CONCATENATE("          ", "6371", " - ", "COMPUTER SOFTWARE MAINTENANCE")</f>
        <v xml:space="preserve">          6371 - COMPUTER SOFTWARE MAINTENANCE</v>
      </c>
      <c r="C65" s="11"/>
      <c r="D65" s="7"/>
      <c r="E65" s="2"/>
      <c r="F65" s="6">
        <f t="shared" si="36"/>
        <v>0</v>
      </c>
      <c r="G65" s="2"/>
      <c r="H65" s="7"/>
      <c r="I65" s="2"/>
      <c r="J65" s="6">
        <f t="shared" si="37"/>
        <v>0</v>
      </c>
      <c r="K65" s="2"/>
      <c r="L65" s="7">
        <f t="shared" si="38"/>
        <v>0</v>
      </c>
      <c r="M65" s="2"/>
      <c r="N65" s="6">
        <f t="shared" si="39"/>
        <v>0</v>
      </c>
      <c r="O65" s="11"/>
      <c r="P65" s="7"/>
      <c r="Q65" s="2"/>
      <c r="R65" s="6">
        <f t="shared" si="40"/>
        <v>0</v>
      </c>
      <c r="S65" s="2"/>
      <c r="T65" s="7">
        <v>2623</v>
      </c>
      <c r="U65" s="2"/>
      <c r="V65" s="6">
        <f t="shared" si="41"/>
        <v>2.4799326834894914E-2</v>
      </c>
      <c r="W65" s="2"/>
      <c r="X65" s="7">
        <f t="shared" si="42"/>
        <v>-2623</v>
      </c>
      <c r="Y65" s="2"/>
      <c r="Z65" s="6">
        <f t="shared" si="43"/>
        <v>-1</v>
      </c>
    </row>
    <row r="66" spans="1:26" s="24" customFormat="1" hidden="1" outlineLevel="2" x14ac:dyDescent="0.25">
      <c r="A66" s="27"/>
      <c r="B66" s="11" t="str">
        <f>CONCATENATE("          ", "6373", " - ", "MAINTENANCE CONTRACTS")</f>
        <v xml:space="preserve">          6373 - MAINTENANCE CONTRACTS</v>
      </c>
      <c r="C66" s="11"/>
      <c r="D66" s="7">
        <v>-71.86</v>
      </c>
      <c r="E66" s="2"/>
      <c r="F66" s="6">
        <f t="shared" si="36"/>
        <v>-2.7820310065214742E-3</v>
      </c>
      <c r="G66" s="2"/>
      <c r="H66" s="7">
        <v>150</v>
      </c>
      <c r="I66" s="2"/>
      <c r="J66" s="6">
        <f t="shared" si="37"/>
        <v>2.8983266993855548E-3</v>
      </c>
      <c r="K66" s="2"/>
      <c r="L66" s="7">
        <f t="shared" si="38"/>
        <v>-221.86</v>
      </c>
      <c r="M66" s="2"/>
      <c r="N66" s="6">
        <f t="shared" si="39"/>
        <v>-1.4790666666666668</v>
      </c>
      <c r="O66" s="11"/>
      <c r="P66" s="7">
        <v>203.58</v>
      </c>
      <c r="Q66" s="2"/>
      <c r="R66" s="6">
        <f t="shared" si="40"/>
        <v>4.1881917187036148E-3</v>
      </c>
      <c r="S66" s="2"/>
      <c r="T66" s="7">
        <v>698</v>
      </c>
      <c r="U66" s="2"/>
      <c r="V66" s="6">
        <f t="shared" si="41"/>
        <v>6.599287125717365E-3</v>
      </c>
      <c r="W66" s="2"/>
      <c r="X66" s="7">
        <f t="shared" si="42"/>
        <v>-494.41999999999996</v>
      </c>
      <c r="Y66" s="2"/>
      <c r="Z66" s="6">
        <f t="shared" si="43"/>
        <v>-0.70833810888252147</v>
      </c>
    </row>
    <row r="67" spans="1:26" s="24" customFormat="1" hidden="1" outlineLevel="2" x14ac:dyDescent="0.25">
      <c r="A67" s="27"/>
      <c r="B67" s="11" t="str">
        <f>CONCATENATE("          ", "6375", " - ", "OUTSIDE REPAIRS &amp; MAINTENANCE")</f>
        <v xml:space="preserve">          6375 - OUTSIDE REPAIRS &amp; MAINTENANCE</v>
      </c>
      <c r="C67" s="11"/>
      <c r="D67" s="7">
        <v>238.26</v>
      </c>
      <c r="E67" s="2"/>
      <c r="F67" s="6">
        <f t="shared" si="36"/>
        <v>9.2241401003869527E-3</v>
      </c>
      <c r="G67" s="2"/>
      <c r="H67" s="7">
        <v>215</v>
      </c>
      <c r="I67" s="2"/>
      <c r="J67" s="6">
        <f t="shared" si="37"/>
        <v>4.1542682691192954E-3</v>
      </c>
      <c r="K67" s="2"/>
      <c r="L67" s="7">
        <f t="shared" si="38"/>
        <v>23.259999999999991</v>
      </c>
      <c r="M67" s="2"/>
      <c r="N67" s="6">
        <f t="shared" si="39"/>
        <v>0.10818604651162786</v>
      </c>
      <c r="O67" s="11"/>
      <c r="P67" s="7">
        <v>2161.25</v>
      </c>
      <c r="Q67" s="2"/>
      <c r="R67" s="6">
        <f t="shared" si="40"/>
        <v>4.4462763297220688E-2</v>
      </c>
      <c r="S67" s="2"/>
      <c r="T67" s="7">
        <v>2490</v>
      </c>
      <c r="U67" s="2"/>
      <c r="V67" s="6">
        <f t="shared" si="41"/>
        <v>2.3541869545897192E-2</v>
      </c>
      <c r="W67" s="2"/>
      <c r="X67" s="7">
        <f t="shared" si="42"/>
        <v>-328.75</v>
      </c>
      <c r="Y67" s="2"/>
      <c r="Z67" s="6">
        <f t="shared" si="43"/>
        <v>-0.1320281124497992</v>
      </c>
    </row>
    <row r="68" spans="1:26" s="28" customFormat="1" outlineLevel="1" collapsed="1" x14ac:dyDescent="0.25">
      <c r="A68" s="29"/>
      <c r="B68" s="14" t="str">
        <f>CONCATENATE("     ","Royalty &amp; Commissions                             ")</f>
        <v xml:space="preserve">     Royalty &amp; Commissions                             </v>
      </c>
      <c r="C68" s="14"/>
      <c r="D68" s="1">
        <f>SUM(OSRRefD22_11x_0)</f>
        <v>0</v>
      </c>
      <c r="E68" s="1"/>
      <c r="F68" s="5">
        <f t="shared" ref="F68:F73" si="44">IF(D$12=0,0,D68/D$12)</f>
        <v>0</v>
      </c>
      <c r="G68" s="1"/>
      <c r="H68" s="1">
        <f>SUM(OSRRefH22_11x_0)</f>
        <v>1382</v>
      </c>
      <c r="I68" s="1"/>
      <c r="J68" s="5">
        <f t="shared" ref="J68:J73" si="45">IF(H$12=0,0,H68/H$12)</f>
        <v>2.670324999033891E-2</v>
      </c>
      <c r="K68" s="1"/>
      <c r="L68" s="1">
        <f t="shared" ref="L68:L73" si="46">+D68-H68</f>
        <v>-1382</v>
      </c>
      <c r="M68" s="1"/>
      <c r="N68" s="5">
        <f t="shared" ref="N68:N73" si="47">IF(H68=0,0,L68/H68)</f>
        <v>-1</v>
      </c>
      <c r="O68" s="14"/>
      <c r="P68" s="1">
        <f>SUM(OSRRefP22_11x_0)</f>
        <v>0</v>
      </c>
      <c r="Q68" s="1"/>
      <c r="R68" s="5">
        <f t="shared" ref="R68:R73" si="48">IF(P$12=0,0,P68/P$12)</f>
        <v>0</v>
      </c>
      <c r="S68" s="1"/>
      <c r="T68" s="1">
        <f>SUM(OSRRefT22_11x_0)</f>
        <v>3011</v>
      </c>
      <c r="U68" s="1"/>
      <c r="V68" s="5">
        <f t="shared" ref="V68:V73" si="49">IF(T$12=0,0,T68/T$12)</f>
        <v>2.846769847497849E-2</v>
      </c>
      <c r="W68" s="1"/>
      <c r="X68" s="1">
        <f t="shared" ref="X68:X73" si="50">+P68-T68</f>
        <v>-3011</v>
      </c>
      <c r="Y68" s="1"/>
      <c r="Z68" s="5">
        <f t="shared" ref="Z68:Z73" si="51">IF(T68=0,0,X68/T68)</f>
        <v>-1</v>
      </c>
    </row>
    <row r="69" spans="1:26" s="24" customFormat="1" hidden="1" outlineLevel="2" x14ac:dyDescent="0.25">
      <c r="A69" s="27"/>
      <c r="B69" s="11" t="str">
        <f>CONCATENATE("          ", "6259", " - ", "ROYALTY &amp; COMMISSIONS")</f>
        <v xml:space="preserve">          6259 - ROYALTY &amp; COMMISSIONS</v>
      </c>
      <c r="C69" s="11"/>
      <c r="D69" s="7"/>
      <c r="E69" s="2"/>
      <c r="F69" s="6">
        <f t="shared" si="44"/>
        <v>0</v>
      </c>
      <c r="G69" s="2"/>
      <c r="H69" s="7">
        <v>1382</v>
      </c>
      <c r="I69" s="2"/>
      <c r="J69" s="6">
        <f t="shared" si="45"/>
        <v>2.670324999033891E-2</v>
      </c>
      <c r="K69" s="2"/>
      <c r="L69" s="7">
        <f t="shared" si="46"/>
        <v>-1382</v>
      </c>
      <c r="M69" s="2"/>
      <c r="N69" s="6">
        <f t="shared" si="47"/>
        <v>-1</v>
      </c>
      <c r="O69" s="11"/>
      <c r="P69" s="7"/>
      <c r="Q69" s="2"/>
      <c r="R69" s="6">
        <f t="shared" si="48"/>
        <v>0</v>
      </c>
      <c r="S69" s="2"/>
      <c r="T69" s="7">
        <v>3011</v>
      </c>
      <c r="U69" s="2"/>
      <c r="V69" s="6">
        <f t="shared" si="49"/>
        <v>2.846769847497849E-2</v>
      </c>
      <c r="W69" s="2"/>
      <c r="X69" s="7">
        <f t="shared" si="50"/>
        <v>-3011</v>
      </c>
      <c r="Y69" s="2"/>
      <c r="Z69" s="6">
        <f t="shared" si="51"/>
        <v>-1</v>
      </c>
    </row>
    <row r="70" spans="1:26" s="28" customFormat="1" outlineLevel="1" collapsed="1" x14ac:dyDescent="0.25">
      <c r="A70" s="29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592.53</v>
      </c>
      <c r="E70" s="1"/>
      <c r="F70" s="5">
        <f t="shared" si="44"/>
        <v>2.2939560705457402E-2</v>
      </c>
      <c r="G70" s="1"/>
      <c r="H70" s="1">
        <f>SUM(OSRRefH22_12x_0)</f>
        <v>292</v>
      </c>
      <c r="I70" s="1"/>
      <c r="J70" s="5">
        <f t="shared" si="45"/>
        <v>5.6420759748038798E-3</v>
      </c>
      <c r="K70" s="1"/>
      <c r="L70" s="1">
        <f t="shared" si="46"/>
        <v>300.52999999999997</v>
      </c>
      <c r="M70" s="1"/>
      <c r="N70" s="5">
        <f t="shared" si="47"/>
        <v>1.0292123287671231</v>
      </c>
      <c r="O70" s="14"/>
      <c r="P70" s="1">
        <f>SUM(OSRRefP22_12x_0)</f>
        <v>8944.4</v>
      </c>
      <c r="Q70" s="1"/>
      <c r="R70" s="5">
        <f t="shared" si="48"/>
        <v>0.18401052170533749</v>
      </c>
      <c r="S70" s="1"/>
      <c r="T70" s="1">
        <f>SUM(OSRRefT22_12x_0)</f>
        <v>885</v>
      </c>
      <c r="U70" s="1"/>
      <c r="V70" s="5">
        <f t="shared" si="49"/>
        <v>8.3672909831803265E-3</v>
      </c>
      <c r="W70" s="1"/>
      <c r="X70" s="1">
        <f t="shared" si="50"/>
        <v>8059.4</v>
      </c>
      <c r="Y70" s="1"/>
      <c r="Z70" s="5">
        <f t="shared" si="51"/>
        <v>9.1066666666666656</v>
      </c>
    </row>
    <row r="71" spans="1:26" s="24" customFormat="1" hidden="1" outlineLevel="2" x14ac:dyDescent="0.25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488.65</v>
      </c>
      <c r="E71" s="2"/>
      <c r="F71" s="6">
        <f t="shared" si="44"/>
        <v>1.8917888273541864E-2</v>
      </c>
      <c r="G71" s="2"/>
      <c r="H71" s="7">
        <v>258</v>
      </c>
      <c r="I71" s="2"/>
      <c r="J71" s="6">
        <f t="shared" si="45"/>
        <v>4.9851219229431545E-3</v>
      </c>
      <c r="K71" s="2"/>
      <c r="L71" s="7">
        <f t="shared" si="46"/>
        <v>230.64999999999998</v>
      </c>
      <c r="M71" s="2"/>
      <c r="N71" s="6">
        <f t="shared" si="47"/>
        <v>0.89399224806201538</v>
      </c>
      <c r="O71" s="11"/>
      <c r="P71" s="7">
        <v>1281</v>
      </c>
      <c r="Q71" s="2"/>
      <c r="R71" s="6">
        <f t="shared" si="48"/>
        <v>2.6353637840943758E-2</v>
      </c>
      <c r="S71" s="2"/>
      <c r="T71" s="7">
        <v>774</v>
      </c>
      <c r="U71" s="2"/>
      <c r="V71" s="6">
        <f t="shared" si="49"/>
        <v>7.3178341480017771E-3</v>
      </c>
      <c r="W71" s="2"/>
      <c r="X71" s="7">
        <f t="shared" si="50"/>
        <v>507</v>
      </c>
      <c r="Y71" s="2"/>
      <c r="Z71" s="6">
        <f t="shared" si="51"/>
        <v>0.65503875968992253</v>
      </c>
    </row>
    <row r="72" spans="1:26" s="24" customFormat="1" hidden="1" outlineLevel="2" x14ac:dyDescent="0.25">
      <c r="A72" s="27"/>
      <c r="B72" s="11" t="str">
        <f>CONCATENATE("          ", "6285", " - ", "JANITORIAL SERVICES")</f>
        <v xml:space="preserve">          6285 - JANITORIAL SERVICES</v>
      </c>
      <c r="C72" s="11"/>
      <c r="D72" s="7"/>
      <c r="E72" s="2"/>
      <c r="F72" s="6">
        <f t="shared" si="44"/>
        <v>0</v>
      </c>
      <c r="G72" s="2"/>
      <c r="H72" s="7"/>
      <c r="I72" s="2"/>
      <c r="J72" s="6">
        <f t="shared" si="45"/>
        <v>0</v>
      </c>
      <c r="K72" s="2"/>
      <c r="L72" s="7">
        <f t="shared" si="46"/>
        <v>0</v>
      </c>
      <c r="M72" s="2"/>
      <c r="N72" s="6">
        <f t="shared" si="47"/>
        <v>0</v>
      </c>
      <c r="O72" s="11"/>
      <c r="P72" s="7">
        <v>7455.64</v>
      </c>
      <c r="Q72" s="2"/>
      <c r="R72" s="6">
        <f t="shared" si="48"/>
        <v>0.15338269822986256</v>
      </c>
      <c r="S72" s="2"/>
      <c r="T72" s="7"/>
      <c r="U72" s="2"/>
      <c r="V72" s="6">
        <f t="shared" si="49"/>
        <v>0</v>
      </c>
      <c r="W72" s="2"/>
      <c r="X72" s="7">
        <f t="shared" si="50"/>
        <v>7455.64</v>
      </c>
      <c r="Y72" s="2"/>
      <c r="Z72" s="6">
        <f t="shared" si="51"/>
        <v>0</v>
      </c>
    </row>
    <row r="73" spans="1:26" s="24" customFormat="1" hidden="1" outlineLevel="2" x14ac:dyDescent="0.25">
      <c r="A73" s="27"/>
      <c r="B73" s="11" t="str">
        <f>CONCATENATE("          ", "6286", " - ", "LAUNDRY EXPENSE")</f>
        <v xml:space="preserve">          6286 - LAUNDRY EXPENSE</v>
      </c>
      <c r="C73" s="11"/>
      <c r="D73" s="7">
        <v>103.88</v>
      </c>
      <c r="E73" s="2"/>
      <c r="F73" s="6">
        <f t="shared" si="44"/>
        <v>4.0216724319155402E-3</v>
      </c>
      <c r="G73" s="2"/>
      <c r="H73" s="7">
        <v>34</v>
      </c>
      <c r="I73" s="2"/>
      <c r="J73" s="6">
        <f t="shared" si="45"/>
        <v>6.5695405186072574E-4</v>
      </c>
      <c r="K73" s="2"/>
      <c r="L73" s="7">
        <f t="shared" si="46"/>
        <v>69.88</v>
      </c>
      <c r="M73" s="2"/>
      <c r="N73" s="6">
        <f t="shared" si="47"/>
        <v>2.0552941176470587</v>
      </c>
      <c r="O73" s="11"/>
      <c r="P73" s="7">
        <v>207.76</v>
      </c>
      <c r="Q73" s="2"/>
      <c r="R73" s="6">
        <f t="shared" si="48"/>
        <v>4.274185634531206E-3</v>
      </c>
      <c r="S73" s="2"/>
      <c r="T73" s="7">
        <v>111</v>
      </c>
      <c r="U73" s="2"/>
      <c r="V73" s="6">
        <f t="shared" si="49"/>
        <v>1.0494568351785494E-3</v>
      </c>
      <c r="W73" s="2"/>
      <c r="X73" s="7">
        <f t="shared" si="50"/>
        <v>96.759999999999991</v>
      </c>
      <c r="Y73" s="2"/>
      <c r="Z73" s="6">
        <f t="shared" si="51"/>
        <v>0.87171171171171158</v>
      </c>
    </row>
    <row r="74" spans="1:26" s="28" customFormat="1" outlineLevel="1" collapsed="1" x14ac:dyDescent="0.25">
      <c r="A74" s="29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1443.7600000000002</v>
      </c>
      <c r="E74" s="1"/>
      <c r="F74" s="5">
        <f t="shared" ref="F74:F79" si="52">IF(D$12=0,0,D74/D$12)</f>
        <v>5.5894587892783801E-2</v>
      </c>
      <c r="G74" s="1"/>
      <c r="H74" s="1">
        <f>SUM(OSRRefH22_13x_0)</f>
        <v>3400</v>
      </c>
      <c r="I74" s="1"/>
      <c r="J74" s="5">
        <f t="shared" ref="J74:J79" si="53">IF(H$12=0,0,H74/H$12)</f>
        <v>6.5695405186072572E-2</v>
      </c>
      <c r="K74" s="1"/>
      <c r="L74" s="1">
        <f t="shared" ref="L74:L79" si="54">+D74-H74</f>
        <v>-1956.2399999999998</v>
      </c>
      <c r="M74" s="1"/>
      <c r="N74" s="5">
        <f t="shared" ref="N74:N79" si="55">IF(H74=0,0,L74/H74)</f>
        <v>-0.57536470588235289</v>
      </c>
      <c r="O74" s="14"/>
      <c r="P74" s="1">
        <f>SUM(OSRRefP22_13x_0)</f>
        <v>2463.6600000000003</v>
      </c>
      <c r="Q74" s="1"/>
      <c r="R74" s="5">
        <f t="shared" ref="R74:R79" si="56">IF(P$12=0,0,P74/P$12)</f>
        <v>5.068415566215418E-2</v>
      </c>
      <c r="S74" s="1"/>
      <c r="T74" s="1">
        <f>SUM(OSRRefT22_13x_0)</f>
        <v>8400</v>
      </c>
      <c r="U74" s="1"/>
      <c r="V74" s="5">
        <f t="shared" ref="V74:V79" si="57">IF(T$12=0,0,T74/T$12)</f>
        <v>7.9418355094592927E-2</v>
      </c>
      <c r="W74" s="1"/>
      <c r="X74" s="1">
        <f t="shared" ref="X74:X79" si="58">+P74-T74</f>
        <v>-5936.34</v>
      </c>
      <c r="Y74" s="1"/>
      <c r="Z74" s="5">
        <f t="shared" ref="Z74:Z79" si="59">IF(T74=0,0,X74/T74)</f>
        <v>-0.70670714285714287</v>
      </c>
    </row>
    <row r="75" spans="1:26" s="24" customFormat="1" hidden="1" outlineLevel="2" x14ac:dyDescent="0.25">
      <c r="A75" s="27"/>
      <c r="B75" s="11" t="str">
        <f>CONCATENATE("          ", "6234", " - ", "EXPENDABLE SUPPLIES &amp; EQUIPMEN")</f>
        <v xml:space="preserve">          6234 - EXPENDABLE SUPPLIES &amp; EQUIPMEN</v>
      </c>
      <c r="C75" s="11"/>
      <c r="D75" s="7">
        <v>1194.8900000000001</v>
      </c>
      <c r="E75" s="2"/>
      <c r="F75" s="6">
        <f t="shared" si="52"/>
        <v>4.6259685908467081E-2</v>
      </c>
      <c r="G75" s="2"/>
      <c r="H75" s="7">
        <v>50</v>
      </c>
      <c r="I75" s="2"/>
      <c r="J75" s="6">
        <f t="shared" si="53"/>
        <v>9.6610889979518489E-4</v>
      </c>
      <c r="K75" s="2"/>
      <c r="L75" s="7">
        <f t="shared" si="54"/>
        <v>1144.8900000000001</v>
      </c>
      <c r="M75" s="2"/>
      <c r="N75" s="6">
        <f t="shared" si="55"/>
        <v>22.897800000000004</v>
      </c>
      <c r="O75" s="11"/>
      <c r="P75" s="7">
        <v>1194.8900000000001</v>
      </c>
      <c r="Q75" s="2"/>
      <c r="R75" s="6">
        <f t="shared" si="56"/>
        <v>2.45821220294811E-2</v>
      </c>
      <c r="S75" s="2"/>
      <c r="T75" s="7">
        <v>300</v>
      </c>
      <c r="U75" s="2"/>
      <c r="V75" s="6">
        <f t="shared" si="57"/>
        <v>2.8363698248068904E-3</v>
      </c>
      <c r="W75" s="2"/>
      <c r="X75" s="7">
        <f t="shared" si="58"/>
        <v>894.8900000000001</v>
      </c>
      <c r="Y75" s="2"/>
      <c r="Z75" s="6">
        <f t="shared" si="59"/>
        <v>2.982966666666667</v>
      </c>
    </row>
    <row r="76" spans="1:26" s="24" customFormat="1" hidden="1" outlineLevel="2" x14ac:dyDescent="0.25">
      <c r="A76" s="27"/>
      <c r="B76" s="11" t="str">
        <f>CONCATENATE("          ", "6237", " - ", "JANITORIAL SUPPLIES")</f>
        <v xml:space="preserve">          6237 - JANITORIAL SUPPLIES</v>
      </c>
      <c r="C76" s="11"/>
      <c r="D76" s="7"/>
      <c r="E76" s="2"/>
      <c r="F76" s="6">
        <f t="shared" si="52"/>
        <v>0</v>
      </c>
      <c r="G76" s="2"/>
      <c r="H76" s="7">
        <v>50</v>
      </c>
      <c r="I76" s="2"/>
      <c r="J76" s="6">
        <f t="shared" si="53"/>
        <v>9.6610889979518489E-4</v>
      </c>
      <c r="K76" s="2"/>
      <c r="L76" s="7">
        <f t="shared" si="54"/>
        <v>-50</v>
      </c>
      <c r="M76" s="2"/>
      <c r="N76" s="6">
        <f t="shared" si="55"/>
        <v>-1</v>
      </c>
      <c r="O76" s="11"/>
      <c r="P76" s="7">
        <v>527.17999999999995</v>
      </c>
      <c r="Q76" s="2"/>
      <c r="R76" s="6">
        <f t="shared" si="56"/>
        <v>1.0845519747844441E-2</v>
      </c>
      <c r="S76" s="2"/>
      <c r="T76" s="7">
        <v>100</v>
      </c>
      <c r="U76" s="2"/>
      <c r="V76" s="6">
        <f t="shared" si="57"/>
        <v>9.4545660826896353E-4</v>
      </c>
      <c r="W76" s="2"/>
      <c r="X76" s="7">
        <f t="shared" si="58"/>
        <v>427.17999999999995</v>
      </c>
      <c r="Y76" s="2"/>
      <c r="Z76" s="6">
        <f t="shared" si="59"/>
        <v>4.2717999999999998</v>
      </c>
    </row>
    <row r="77" spans="1:26" s="24" customFormat="1" hidden="1" outlineLevel="2" x14ac:dyDescent="0.25">
      <c r="A77" s="27"/>
      <c r="B77" s="11" t="str">
        <f>CONCATENATE("          ", "6241", " - ", "OFFICE EXPENSE")</f>
        <v xml:space="preserve">          6241 - OFFICE EXPENSE</v>
      </c>
      <c r="C77" s="11"/>
      <c r="D77" s="7">
        <v>42.74</v>
      </c>
      <c r="E77" s="2"/>
      <c r="F77" s="6">
        <f t="shared" si="52"/>
        <v>1.6546619150950154E-3</v>
      </c>
      <c r="G77" s="2"/>
      <c r="H77" s="7"/>
      <c r="I77" s="2"/>
      <c r="J77" s="6">
        <f t="shared" si="53"/>
        <v>0</v>
      </c>
      <c r="K77" s="2"/>
      <c r="L77" s="7">
        <f t="shared" si="54"/>
        <v>42.74</v>
      </c>
      <c r="M77" s="2"/>
      <c r="N77" s="6">
        <f t="shared" si="55"/>
        <v>0</v>
      </c>
      <c r="O77" s="11"/>
      <c r="P77" s="7">
        <v>177.48</v>
      </c>
      <c r="Q77" s="2"/>
      <c r="R77" s="6">
        <f t="shared" si="56"/>
        <v>3.6512440624595611E-3</v>
      </c>
      <c r="S77" s="2"/>
      <c r="T77" s="7"/>
      <c r="U77" s="2"/>
      <c r="V77" s="6">
        <f t="shared" si="57"/>
        <v>0</v>
      </c>
      <c r="W77" s="2"/>
      <c r="X77" s="7">
        <f t="shared" si="58"/>
        <v>177.48</v>
      </c>
      <c r="Y77" s="2"/>
      <c r="Z77" s="6">
        <f t="shared" si="59"/>
        <v>0</v>
      </c>
    </row>
    <row r="78" spans="1:26" s="24" customFormat="1" hidden="1" outlineLevel="2" x14ac:dyDescent="0.25">
      <c r="A78" s="27"/>
      <c r="B78" s="11" t="str">
        <f>CONCATENATE("          ", "6243", " - ", "PAPER SUPPLIES")</f>
        <v xml:space="preserve">          6243 - PAPER SUPPLIES</v>
      </c>
      <c r="C78" s="11"/>
      <c r="D78" s="7"/>
      <c r="E78" s="2"/>
      <c r="F78" s="6">
        <f t="shared" si="52"/>
        <v>0</v>
      </c>
      <c r="G78" s="2"/>
      <c r="H78" s="7">
        <v>200</v>
      </c>
      <c r="I78" s="2"/>
      <c r="J78" s="6">
        <f t="shared" si="53"/>
        <v>3.8644355991807396E-3</v>
      </c>
      <c r="K78" s="2"/>
      <c r="L78" s="7">
        <f t="shared" si="54"/>
        <v>-200</v>
      </c>
      <c r="M78" s="2"/>
      <c r="N78" s="6">
        <f t="shared" si="55"/>
        <v>-1</v>
      </c>
      <c r="O78" s="11"/>
      <c r="P78" s="7"/>
      <c r="Q78" s="2"/>
      <c r="R78" s="6">
        <f t="shared" si="56"/>
        <v>0</v>
      </c>
      <c r="S78" s="2"/>
      <c r="T78" s="7">
        <v>600</v>
      </c>
      <c r="U78" s="2"/>
      <c r="V78" s="6">
        <f t="shared" si="57"/>
        <v>5.6727396496137807E-3</v>
      </c>
      <c r="W78" s="2"/>
      <c r="X78" s="7">
        <f t="shared" si="58"/>
        <v>-600</v>
      </c>
      <c r="Y78" s="2"/>
      <c r="Z78" s="6">
        <f t="shared" si="59"/>
        <v>-1</v>
      </c>
    </row>
    <row r="79" spans="1:26" s="24" customFormat="1" hidden="1" outlineLevel="2" x14ac:dyDescent="0.25">
      <c r="A79" s="27"/>
      <c r="B79" s="11" t="str">
        <f>CONCATENATE("          ", "6247", " - ", "STORE SUPPLIES")</f>
        <v xml:space="preserve">          6247 - STORE SUPPLIES</v>
      </c>
      <c r="C79" s="11"/>
      <c r="D79" s="7">
        <v>206.13</v>
      </c>
      <c r="E79" s="2"/>
      <c r="F79" s="6">
        <f t="shared" si="52"/>
        <v>7.9802400692217008E-3</v>
      </c>
      <c r="G79" s="2"/>
      <c r="H79" s="7">
        <v>3100</v>
      </c>
      <c r="I79" s="2"/>
      <c r="J79" s="6">
        <f t="shared" si="53"/>
        <v>5.9898751787301467E-2</v>
      </c>
      <c r="K79" s="2"/>
      <c r="L79" s="7">
        <f t="shared" si="54"/>
        <v>-2893.87</v>
      </c>
      <c r="M79" s="2"/>
      <c r="N79" s="6">
        <f t="shared" si="55"/>
        <v>-0.93350645161290324</v>
      </c>
      <c r="O79" s="11"/>
      <c r="P79" s="7">
        <v>564.11</v>
      </c>
      <c r="Q79" s="2"/>
      <c r="R79" s="6">
        <f t="shared" si="56"/>
        <v>1.1605269822369074E-2</v>
      </c>
      <c r="S79" s="2"/>
      <c r="T79" s="7">
        <v>7400</v>
      </c>
      <c r="U79" s="2"/>
      <c r="V79" s="6">
        <f t="shared" si="57"/>
        <v>6.9963789011903296E-2</v>
      </c>
      <c r="W79" s="2"/>
      <c r="X79" s="7">
        <f t="shared" si="58"/>
        <v>-6835.89</v>
      </c>
      <c r="Y79" s="2"/>
      <c r="Z79" s="6">
        <f t="shared" si="59"/>
        <v>-0.92376891891891899</v>
      </c>
    </row>
    <row r="80" spans="1:26" s="28" customFormat="1" outlineLevel="1" collapsed="1" x14ac:dyDescent="0.25">
      <c r="A80" s="29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SUM(OSRRefD22_14x_0)</f>
        <v>-146.5</v>
      </c>
      <c r="E80" s="1"/>
      <c r="F80" s="5">
        <f t="shared" ref="F80:F82" si="60">IF(D$12=0,0,D80/D$12)</f>
        <v>-5.6716885952601721E-3</v>
      </c>
      <c r="G80" s="1"/>
      <c r="H80" s="1">
        <f>SUM(OSRRefH22_14x_0)</f>
        <v>178</v>
      </c>
      <c r="I80" s="1"/>
      <c r="J80" s="5">
        <f t="shared" ref="J80:J82" si="61">IF(H$12=0,0,H80/H$12)</f>
        <v>3.4393476832708584E-3</v>
      </c>
      <c r="K80" s="1"/>
      <c r="L80" s="1">
        <f t="shared" ref="L80:L82" si="62">+D80-H80</f>
        <v>-324.5</v>
      </c>
      <c r="M80" s="1"/>
      <c r="N80" s="5">
        <f t="shared" ref="N80:N82" si="63">IF(H80=0,0,L80/H80)</f>
        <v>-1.8230337078651686</v>
      </c>
      <c r="O80" s="14"/>
      <c r="P80" s="1">
        <f>SUM(OSRRefP22_14x_0)</f>
        <v>499</v>
      </c>
      <c r="Q80" s="1"/>
      <c r="R80" s="5">
        <f t="shared" ref="R80:R82" si="64">IF(P$12=0,0,P80/P$12)</f>
        <v>1.0265780860757951E-2</v>
      </c>
      <c r="S80" s="1"/>
      <c r="T80" s="1">
        <f>SUM(OSRRefT22_14x_0)</f>
        <v>712</v>
      </c>
      <c r="U80" s="1"/>
      <c r="V80" s="5">
        <f t="shared" ref="V80:V82" si="65">IF(T$12=0,0,T80/T$12)</f>
        <v>6.7316510508750203E-3</v>
      </c>
      <c r="W80" s="1"/>
      <c r="X80" s="1">
        <f t="shared" ref="X80:X82" si="66">+P80-T80</f>
        <v>-213</v>
      </c>
      <c r="Y80" s="1"/>
      <c r="Z80" s="5">
        <f t="shared" ref="Z80:Z82" si="67">IF(T80=0,0,X80/T80)</f>
        <v>-0.2991573033707865</v>
      </c>
    </row>
    <row r="81" spans="1:26" s="24" customFormat="1" hidden="1" outlineLevel="2" x14ac:dyDescent="0.25">
      <c r="A81" s="27"/>
      <c r="B81" s="11" t="str">
        <f>CONCATENATE("          ", "6303", " - ", "DATA PHONE LINES")</f>
        <v xml:space="preserve">          6303 - DATA PHONE LINES</v>
      </c>
      <c r="C81" s="11"/>
      <c r="D81" s="7"/>
      <c r="E81" s="2"/>
      <c r="F81" s="6">
        <f t="shared" si="60"/>
        <v>0</v>
      </c>
      <c r="G81" s="2"/>
      <c r="H81" s="7">
        <v>50</v>
      </c>
      <c r="I81" s="2"/>
      <c r="J81" s="6">
        <f t="shared" si="61"/>
        <v>9.6610889979518489E-4</v>
      </c>
      <c r="K81" s="2"/>
      <c r="L81" s="7">
        <f t="shared" si="62"/>
        <v>-50</v>
      </c>
      <c r="M81" s="2"/>
      <c r="N81" s="6">
        <f t="shared" si="63"/>
        <v>-1</v>
      </c>
      <c r="O81" s="11"/>
      <c r="P81" s="7"/>
      <c r="Q81" s="2"/>
      <c r="R81" s="6">
        <f t="shared" si="64"/>
        <v>0</v>
      </c>
      <c r="S81" s="2"/>
      <c r="T81" s="7">
        <v>200</v>
      </c>
      <c r="U81" s="2"/>
      <c r="V81" s="6">
        <f t="shared" si="65"/>
        <v>1.8909132165379271E-3</v>
      </c>
      <c r="W81" s="2"/>
      <c r="X81" s="7">
        <f t="shared" si="66"/>
        <v>-200</v>
      </c>
      <c r="Y81" s="2"/>
      <c r="Z81" s="6">
        <f t="shared" si="67"/>
        <v>-1</v>
      </c>
    </row>
    <row r="82" spans="1:26" s="24" customFormat="1" hidden="1" outlineLevel="2" x14ac:dyDescent="0.25">
      <c r="A82" s="27"/>
      <c r="B82" s="11" t="str">
        <f>CONCATENATE("          ", "6309", " - ", "TELEPHONE")</f>
        <v xml:space="preserve">          6309 - TELEPHONE</v>
      </c>
      <c r="C82" s="11"/>
      <c r="D82" s="7">
        <v>-146.5</v>
      </c>
      <c r="E82" s="2"/>
      <c r="F82" s="6">
        <f t="shared" si="60"/>
        <v>-5.6716885952601721E-3</v>
      </c>
      <c r="G82" s="2"/>
      <c r="H82" s="7">
        <v>128</v>
      </c>
      <c r="I82" s="2"/>
      <c r="J82" s="6">
        <f t="shared" si="61"/>
        <v>2.4732387834756732E-3</v>
      </c>
      <c r="K82" s="2"/>
      <c r="L82" s="7">
        <f t="shared" si="62"/>
        <v>-274.5</v>
      </c>
      <c r="M82" s="2"/>
      <c r="N82" s="6">
        <f t="shared" si="63"/>
        <v>-2.14453125</v>
      </c>
      <c r="O82" s="11"/>
      <c r="P82" s="7">
        <v>499</v>
      </c>
      <c r="Q82" s="2"/>
      <c r="R82" s="6">
        <f t="shared" si="64"/>
        <v>1.0265780860757951E-2</v>
      </c>
      <c r="S82" s="2"/>
      <c r="T82" s="7">
        <v>512</v>
      </c>
      <c r="U82" s="2"/>
      <c r="V82" s="6">
        <f t="shared" si="65"/>
        <v>4.8407378343370928E-3</v>
      </c>
      <c r="W82" s="2"/>
      <c r="X82" s="7">
        <f t="shared" si="66"/>
        <v>-13</v>
      </c>
      <c r="Y82" s="2"/>
      <c r="Z82" s="6">
        <f t="shared" si="67"/>
        <v>-2.5390625E-2</v>
      </c>
    </row>
    <row r="83" spans="1:26" s="28" customFormat="1" outlineLevel="1" collapsed="1" x14ac:dyDescent="0.25">
      <c r="A83" s="29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SUM(OSRRefD22_15x_0)</f>
        <v>0</v>
      </c>
      <c r="E83" s="1"/>
      <c r="F83" s="5">
        <f t="shared" ref="F83:F86" si="68">IF(D$12=0,0,D83/D$12)</f>
        <v>0</v>
      </c>
      <c r="G83" s="1"/>
      <c r="H83" s="1">
        <f>SUM(OSRRefH22_15x_0)</f>
        <v>0</v>
      </c>
      <c r="I83" s="1"/>
      <c r="J83" s="5">
        <f t="shared" ref="J83:J86" si="69">IF(H$12=0,0,H83/H$12)</f>
        <v>0</v>
      </c>
      <c r="K83" s="1"/>
      <c r="L83" s="1">
        <f t="shared" ref="L83:L86" si="70">+D83-H83</f>
        <v>0</v>
      </c>
      <c r="M83" s="1"/>
      <c r="N83" s="5">
        <f t="shared" ref="N83:N86" si="71">IF(H83=0,0,L83/H83)</f>
        <v>0</v>
      </c>
      <c r="O83" s="14"/>
      <c r="P83" s="1">
        <f>SUM(OSRRefP22_15x_0)</f>
        <v>0</v>
      </c>
      <c r="Q83" s="1"/>
      <c r="R83" s="5">
        <f t="shared" ref="R83:R86" si="72">IF(P$12=0,0,P83/P$12)</f>
        <v>0</v>
      </c>
      <c r="S83" s="1"/>
      <c r="T83" s="1">
        <f>SUM(OSRRefT22_15x_0)</f>
        <v>75</v>
      </c>
      <c r="U83" s="1"/>
      <c r="V83" s="5">
        <f t="shared" ref="V83:V86" si="73">IF(T$12=0,0,T83/T$12)</f>
        <v>7.0909245620172259E-4</v>
      </c>
      <c r="W83" s="1"/>
      <c r="X83" s="1">
        <f t="shared" ref="X83:X86" si="74">+P83-T83</f>
        <v>-75</v>
      </c>
      <c r="Y83" s="1"/>
      <c r="Z83" s="5">
        <f t="shared" ref="Z83:Z86" si="75">IF(T83=0,0,X83/T83)</f>
        <v>-1</v>
      </c>
    </row>
    <row r="84" spans="1:26" s="24" customFormat="1" hidden="1" outlineLevel="2" x14ac:dyDescent="0.25">
      <c r="A84" s="27"/>
      <c r="B84" s="11" t="str">
        <f>CONCATENATE("          ", "6376", " - ", "TRAINING")</f>
        <v xml:space="preserve">          6376 - TRAINING</v>
      </c>
      <c r="C84" s="11"/>
      <c r="D84" s="7"/>
      <c r="E84" s="2"/>
      <c r="F84" s="6">
        <f t="shared" si="68"/>
        <v>0</v>
      </c>
      <c r="G84" s="2"/>
      <c r="H84" s="7"/>
      <c r="I84" s="2"/>
      <c r="J84" s="6">
        <f t="shared" si="69"/>
        <v>0</v>
      </c>
      <c r="K84" s="2"/>
      <c r="L84" s="7">
        <f t="shared" si="70"/>
        <v>0</v>
      </c>
      <c r="M84" s="2"/>
      <c r="N84" s="6">
        <f t="shared" si="71"/>
        <v>0</v>
      </c>
      <c r="O84" s="11"/>
      <c r="P84" s="7"/>
      <c r="Q84" s="2"/>
      <c r="R84" s="6">
        <f t="shared" si="72"/>
        <v>0</v>
      </c>
      <c r="S84" s="2"/>
      <c r="T84" s="7">
        <v>75</v>
      </c>
      <c r="U84" s="2"/>
      <c r="V84" s="6">
        <f t="shared" si="73"/>
        <v>7.0909245620172259E-4</v>
      </c>
      <c r="W84" s="2"/>
      <c r="X84" s="7">
        <f t="shared" si="74"/>
        <v>-75</v>
      </c>
      <c r="Y84" s="2"/>
      <c r="Z84" s="6">
        <f t="shared" si="75"/>
        <v>-1</v>
      </c>
    </row>
    <row r="85" spans="1:26" s="28" customFormat="1" outlineLevel="1" collapsed="1" x14ac:dyDescent="0.25">
      <c r="A85" s="29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SUM(OSRRefD22_16x_0)</f>
        <v>100</v>
      </c>
      <c r="E85" s="1"/>
      <c r="F85" s="5">
        <f t="shared" si="68"/>
        <v>3.8714597919864654E-3</v>
      </c>
      <c r="G85" s="1"/>
      <c r="H85" s="1">
        <f>SUM(OSRRefH22_16x_0)</f>
        <v>0</v>
      </c>
      <c r="I85" s="1"/>
      <c r="J85" s="5">
        <f t="shared" si="69"/>
        <v>0</v>
      </c>
      <c r="K85" s="1"/>
      <c r="L85" s="1">
        <f t="shared" si="70"/>
        <v>100</v>
      </c>
      <c r="M85" s="1"/>
      <c r="N85" s="5">
        <f t="shared" si="71"/>
        <v>0</v>
      </c>
      <c r="O85" s="14"/>
      <c r="P85" s="1">
        <f>SUM(OSRRefP22_16x_0)</f>
        <v>400</v>
      </c>
      <c r="Q85" s="1"/>
      <c r="R85" s="5">
        <f t="shared" si="72"/>
        <v>8.2290828543149907E-3</v>
      </c>
      <c r="S85" s="1"/>
      <c r="T85" s="1">
        <f>SUM(OSRRefT22_16x_0)</f>
        <v>0</v>
      </c>
      <c r="U85" s="1"/>
      <c r="V85" s="5">
        <f t="shared" si="73"/>
        <v>0</v>
      </c>
      <c r="W85" s="1"/>
      <c r="X85" s="1">
        <f t="shared" si="74"/>
        <v>400</v>
      </c>
      <c r="Y85" s="1"/>
      <c r="Z85" s="5">
        <f t="shared" si="75"/>
        <v>0</v>
      </c>
    </row>
    <row r="86" spans="1:26" s="24" customFormat="1" hidden="1" outlineLevel="2" x14ac:dyDescent="0.25">
      <c r="A86" s="27"/>
      <c r="B86" s="11" t="str">
        <f>CONCATENATE("          ", "6274", " - ", "UTILITIES")</f>
        <v xml:space="preserve">          6274 - UTILITIES</v>
      </c>
      <c r="C86" s="11"/>
      <c r="D86" s="7">
        <v>100</v>
      </c>
      <c r="E86" s="2"/>
      <c r="F86" s="6">
        <f t="shared" si="68"/>
        <v>3.8714597919864654E-3</v>
      </c>
      <c r="G86" s="2"/>
      <c r="H86" s="7">
        <v>0</v>
      </c>
      <c r="I86" s="2"/>
      <c r="J86" s="6">
        <f t="shared" si="69"/>
        <v>0</v>
      </c>
      <c r="K86" s="2"/>
      <c r="L86" s="7">
        <f t="shared" si="70"/>
        <v>100</v>
      </c>
      <c r="M86" s="2"/>
      <c r="N86" s="6">
        <f t="shared" si="71"/>
        <v>0</v>
      </c>
      <c r="O86" s="11"/>
      <c r="P86" s="7">
        <v>400</v>
      </c>
      <c r="Q86" s="2"/>
      <c r="R86" s="6">
        <f t="shared" si="72"/>
        <v>8.2290828543149907E-3</v>
      </c>
      <c r="S86" s="2"/>
      <c r="T86" s="7">
        <v>0</v>
      </c>
      <c r="U86" s="2"/>
      <c r="V86" s="6">
        <f t="shared" si="73"/>
        <v>0</v>
      </c>
      <c r="W86" s="2"/>
      <c r="X86" s="7">
        <f t="shared" si="74"/>
        <v>400</v>
      </c>
      <c r="Y86" s="2"/>
      <c r="Z86" s="6">
        <f t="shared" si="75"/>
        <v>0</v>
      </c>
    </row>
    <row r="87" spans="1:26" s="60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5" t="s">
        <v>293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6" t="s">
        <v>277</v>
      </c>
      <c r="C90" s="26"/>
      <c r="D90" s="21">
        <f>+D23-D25+D88</f>
        <v>-6717.0600000000049</v>
      </c>
      <c r="E90" s="13"/>
      <c r="F90" s="20">
        <f>IF(D$12=0,0,D90/D$12)</f>
        <v>-0.26004827710360628</v>
      </c>
      <c r="G90" s="13"/>
      <c r="H90" s="21">
        <f>+H23-H25+H88</f>
        <v>-19328.427490384616</v>
      </c>
      <c r="I90" s="13"/>
      <c r="J90" s="20">
        <f>IF(H$12=0,0,H90/H$12)</f>
        <v>-0.37346731635012975</v>
      </c>
      <c r="K90" s="15"/>
      <c r="L90" s="21">
        <f>+D90-H90</f>
        <v>12611.367490384611</v>
      </c>
      <c r="M90" s="15"/>
      <c r="N90" s="20">
        <f>IF(H90=0,0,L90/H90)</f>
        <v>-0.65247767810694557</v>
      </c>
      <c r="O90" s="25"/>
      <c r="P90" s="21">
        <f>+P23-P25+P88</f>
        <v>-53644.039999999994</v>
      </c>
      <c r="Q90" s="13"/>
      <c r="R90" s="20">
        <f>IF(P$12=0,0,P90/P$12)</f>
        <v>-1.1036031245004687</v>
      </c>
      <c r="S90" s="13"/>
      <c r="T90" s="21">
        <f>+T23-T25+T88</f>
        <v>-89228.188005384582</v>
      </c>
      <c r="U90" s="13"/>
      <c r="V90" s="20">
        <f>IF(T$12=0,0,T90/T$12)</f>
        <v>-0.84361379993556318</v>
      </c>
      <c r="W90" s="15"/>
      <c r="X90" s="21">
        <f>+P90-T90</f>
        <v>35584.148005384588</v>
      </c>
      <c r="Y90" s="15"/>
      <c r="Z90" s="20">
        <f>IF(T90=0,0,X90/T90)</f>
        <v>-0.39879940185759705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128</v>
      </c>
      <c r="C92" s="10"/>
      <c r="D92" s="4">
        <v>2799.33</v>
      </c>
      <c r="E92" s="4"/>
      <c r="F92" s="12">
        <f>IF(D$12=0,0,D92/D$12)</f>
        <v>0.10837493539501472</v>
      </c>
      <c r="G92" s="4"/>
      <c r="H92" s="4">
        <v>6297</v>
      </c>
      <c r="I92" s="4"/>
      <c r="J92" s="12">
        <f>IF(H$12=0,0,H92/H$12)</f>
        <v>0.12167175484020559</v>
      </c>
      <c r="K92" s="4"/>
      <c r="L92" s="4">
        <f>+D92-H92</f>
        <v>-3497.67</v>
      </c>
      <c r="M92" s="4"/>
      <c r="N92" s="12">
        <f>IF(H92=0,0,L92/H92)</f>
        <v>-0.55545021438780373</v>
      </c>
      <c r="O92" s="10"/>
      <c r="P92" s="4">
        <v>5618.7</v>
      </c>
      <c r="Q92" s="4"/>
      <c r="R92" s="12">
        <f>IF(P$12=0,0,P92/P$12)</f>
        <v>0.11559186958384909</v>
      </c>
      <c r="S92" s="4"/>
      <c r="T92" s="4">
        <v>12161</v>
      </c>
      <c r="U92" s="4"/>
      <c r="V92" s="12">
        <f>IF(T$12=0,0,T92/T$12)</f>
        <v>0.11497697813158865</v>
      </c>
      <c r="W92" s="4"/>
      <c r="X92" s="4">
        <f>+P92-T92</f>
        <v>-6542.3</v>
      </c>
      <c r="Y92" s="4"/>
      <c r="Z92" s="12">
        <f>IF(T92=0,0,X92/T92)</f>
        <v>-0.53797385083463534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6" t="s">
        <v>126</v>
      </c>
      <c r="C94" s="26"/>
      <c r="D94" s="31">
        <f>+D90-D92</f>
        <v>-9516.3900000000049</v>
      </c>
      <c r="E94" s="13"/>
      <c r="F94" s="33">
        <f>IF(D$12=0,0,D94/D$12)</f>
        <v>-0.36842321249862098</v>
      </c>
      <c r="G94" s="13"/>
      <c r="H94" s="31">
        <f>+H90-H92</f>
        <v>-25625.427490384616</v>
      </c>
      <c r="I94" s="13"/>
      <c r="J94" s="33">
        <f>IF(H$12=0,0,H94/H$12)</f>
        <v>-0.49513907119033534</v>
      </c>
      <c r="K94" s="15"/>
      <c r="L94" s="31">
        <f>D94-H94</f>
        <v>16109.037490384611</v>
      </c>
      <c r="M94" s="15"/>
      <c r="N94" s="33">
        <f>IF(H94=0,0,L94/H94)</f>
        <v>-0.62863487824463327</v>
      </c>
      <c r="O94" s="25"/>
      <c r="P94" s="31">
        <f>+P90-P92</f>
        <v>-59262.739999999991</v>
      </c>
      <c r="Q94" s="13"/>
      <c r="R94" s="33">
        <f>IF(P$12=0,0,P94/P$12)</f>
        <v>-1.2191949940843179</v>
      </c>
      <c r="S94" s="13"/>
      <c r="T94" s="31">
        <f>+T90-T92</f>
        <v>-101389.18800538458</v>
      </c>
      <c r="U94" s="13"/>
      <c r="V94" s="33">
        <f>IF(T$12=0,0,T94/T$12)</f>
        <v>-0.95859077806715187</v>
      </c>
      <c r="W94" s="15"/>
      <c r="X94" s="31">
        <f>P94-T94</f>
        <v>42126.448005384591</v>
      </c>
      <c r="Y94" s="15"/>
      <c r="Z94" s="33">
        <f>IF(T94=0,0,X94/T94)</f>
        <v>-0.41549250796985709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6" t="s">
        <v>294</v>
      </c>
      <c r="C97" s="26"/>
      <c r="D97" s="35">
        <f>SUM(D94:D96)</f>
        <v>-9516.3900000000049</v>
      </c>
      <c r="E97" s="13"/>
      <c r="F97" s="32">
        <f>IF(D$12=0,0,D97/D$12)</f>
        <v>-0.36842321249862098</v>
      </c>
      <c r="G97" s="13"/>
      <c r="H97" s="35">
        <f>SUM(H94:H96)</f>
        <v>-25625.427490384616</v>
      </c>
      <c r="I97" s="13"/>
      <c r="J97" s="32">
        <f>IF(H$12=0,0,H97/H$12)</f>
        <v>-0.49513907119033534</v>
      </c>
      <c r="K97" s="15"/>
      <c r="L97" s="35">
        <f>+D97-H97</f>
        <v>16109.037490384611</v>
      </c>
      <c r="M97" s="15"/>
      <c r="N97" s="32">
        <f>IF(H97=0,0,L97/H97)</f>
        <v>-0.62863487824463327</v>
      </c>
      <c r="O97" s="25"/>
      <c r="P97" s="35">
        <f>SUM(P94:P96)</f>
        <v>-59262.739999999991</v>
      </c>
      <c r="Q97" s="13"/>
      <c r="R97" s="32">
        <f>IF(P$12=0,0,P97/P$12)</f>
        <v>-1.2191949940843179</v>
      </c>
      <c r="S97" s="13"/>
      <c r="T97" s="35">
        <f>SUM(T94:T96)</f>
        <v>-101389.18800538458</v>
      </c>
      <c r="U97" s="13"/>
      <c r="V97" s="32">
        <f>IF(T$12=0,0,T97/T$12)</f>
        <v>-0.95859077806715187</v>
      </c>
      <c r="W97" s="15"/>
      <c r="X97" s="35">
        <f>+P97-T97</f>
        <v>42126.448005384591</v>
      </c>
      <c r="Y97" s="15"/>
      <c r="Z97" s="32">
        <f>IF(T97=0,0,X97/T97)</f>
        <v>-0.41549250796985709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6" x14ac:dyDescent="0.25">
      <c r="A99" s="9"/>
      <c r="B99" s="59">
        <v>44517.962875775462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62" t="s">
        <v>56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7"/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","309", " - ", "Carts")</f>
        <v>Department 309 - Carts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770.79000000000008</v>
      </c>
      <c r="E18" s="22"/>
      <c r="F18" s="34">
        <f t="shared" ref="F18:F25" si="0">IF(D$12=0,0,D18/D$12)</f>
        <v>0</v>
      </c>
      <c r="G18" s="22"/>
      <c r="H18" s="22">
        <f>SUM(OSRRefH22x_0)</f>
        <v>588</v>
      </c>
      <c r="I18" s="22"/>
      <c r="J18" s="34">
        <f t="shared" ref="J18:J25" si="1">IF(H$12=0,0,H18/H$12)</f>
        <v>0</v>
      </c>
      <c r="K18" s="4"/>
      <c r="L18" s="22">
        <f t="shared" ref="L18:L25" si="2">+D18-H18</f>
        <v>182.79000000000008</v>
      </c>
      <c r="M18" s="4"/>
      <c r="N18" s="34">
        <f t="shared" ref="N18:N25" si="3">IF(H18=0,0,L18/H18)</f>
        <v>0.31086734693877566</v>
      </c>
      <c r="O18" s="10"/>
      <c r="P18" s="22">
        <f>SUM(OSRRefP22x_0)</f>
        <v>3253.9800000000005</v>
      </c>
      <c r="Q18" s="22"/>
      <c r="R18" s="34">
        <f t="shared" ref="R18:R25" si="4">IF(P$12=0,0,P18/P$12)</f>
        <v>0</v>
      </c>
      <c r="S18" s="22"/>
      <c r="T18" s="22">
        <f>SUM(OSRRefT22x_0)</f>
        <v>2352</v>
      </c>
      <c r="U18" s="22"/>
      <c r="V18" s="34">
        <f t="shared" ref="V18:V25" si="5">IF(T$12=0,0,T18/T$12)</f>
        <v>0</v>
      </c>
      <c r="W18" s="4"/>
      <c r="X18" s="22">
        <f t="shared" ref="X18:X25" si="6">+P18-T18</f>
        <v>901.98000000000047</v>
      </c>
      <c r="Y18" s="4"/>
      <c r="Z18" s="34">
        <f t="shared" ref="Z18:Z25" si="7">IF(T18=0,0,X18/T18)</f>
        <v>0.3834948979591839</v>
      </c>
    </row>
    <row r="19" spans="1:26" s="28" customFormat="1" outlineLevel="1" collapsed="1" x14ac:dyDescent="0.25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588.94000000000005</v>
      </c>
      <c r="E19" s="1"/>
      <c r="F19" s="5">
        <f t="shared" si="0"/>
        <v>0</v>
      </c>
      <c r="G19" s="1"/>
      <c r="H19" s="1">
        <f>SUM(OSRRefH22_0x_0)</f>
        <v>588</v>
      </c>
      <c r="I19" s="1"/>
      <c r="J19" s="5">
        <f t="shared" si="1"/>
        <v>0</v>
      </c>
      <c r="K19" s="1"/>
      <c r="L19" s="1">
        <f t="shared" si="2"/>
        <v>0.94000000000005457</v>
      </c>
      <c r="M19" s="1"/>
      <c r="N19" s="5">
        <f t="shared" si="3"/>
        <v>1.5986394557824057E-3</v>
      </c>
      <c r="O19" s="14"/>
      <c r="P19" s="1">
        <f>SUM(OSRRefP22_0x_0)</f>
        <v>2355.7600000000002</v>
      </c>
      <c r="Q19" s="1"/>
      <c r="R19" s="5">
        <f t="shared" si="4"/>
        <v>0</v>
      </c>
      <c r="S19" s="1"/>
      <c r="T19" s="1">
        <f>SUM(OSRRefT22_0x_0)</f>
        <v>2352</v>
      </c>
      <c r="U19" s="1"/>
      <c r="V19" s="5">
        <f t="shared" si="5"/>
        <v>0</v>
      </c>
      <c r="W19" s="1"/>
      <c r="X19" s="1">
        <f t="shared" si="6"/>
        <v>3.7600000000002183</v>
      </c>
      <c r="Y19" s="1"/>
      <c r="Z19" s="5">
        <f t="shared" si="7"/>
        <v>1.5986394557824057E-3</v>
      </c>
    </row>
    <row r="20" spans="1:26" s="24" customFormat="1" hidden="1" outlineLevel="2" x14ac:dyDescent="0.25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588.94000000000005</v>
      </c>
      <c r="E20" s="2"/>
      <c r="F20" s="6">
        <f t="shared" si="0"/>
        <v>0</v>
      </c>
      <c r="G20" s="2"/>
      <c r="H20" s="7">
        <v>588</v>
      </c>
      <c r="I20" s="2"/>
      <c r="J20" s="6">
        <f t="shared" si="1"/>
        <v>0</v>
      </c>
      <c r="K20" s="2"/>
      <c r="L20" s="7">
        <f t="shared" si="2"/>
        <v>0.94000000000005457</v>
      </c>
      <c r="M20" s="2"/>
      <c r="N20" s="6">
        <f t="shared" si="3"/>
        <v>1.5986394557824057E-3</v>
      </c>
      <c r="O20" s="11"/>
      <c r="P20" s="7">
        <v>2355.7600000000002</v>
      </c>
      <c r="Q20" s="2"/>
      <c r="R20" s="6">
        <f t="shared" si="4"/>
        <v>0</v>
      </c>
      <c r="S20" s="2"/>
      <c r="T20" s="7">
        <v>2352</v>
      </c>
      <c r="U20" s="2"/>
      <c r="V20" s="6">
        <f t="shared" si="5"/>
        <v>0</v>
      </c>
      <c r="W20" s="2"/>
      <c r="X20" s="7">
        <f t="shared" si="6"/>
        <v>3.7600000000002183</v>
      </c>
      <c r="Y20" s="2"/>
      <c r="Z20" s="6">
        <f t="shared" si="7"/>
        <v>1.5986394557824057E-3</v>
      </c>
    </row>
    <row r="21" spans="1:26" s="28" customFormat="1" outlineLevel="1" collapsed="1" x14ac:dyDescent="0.25">
      <c r="A21" s="29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47.9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47.9</v>
      </c>
      <c r="Y21" s="1"/>
      <c r="Z21" s="5">
        <f t="shared" si="7"/>
        <v>0</v>
      </c>
    </row>
    <row r="22" spans="1:26" s="24" customFormat="1" hidden="1" outlineLevel="2" x14ac:dyDescent="0.25">
      <c r="A22" s="27"/>
      <c r="B22" s="11" t="str">
        <f>CONCATENATE("          ", "6373", " - ", "MAINTENANCE CONTRACTS")</f>
        <v xml:space="preserve">          6373 - MAINTENANCE CONTRACTS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47.9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47.9</v>
      </c>
      <c r="Y22" s="2"/>
      <c r="Z22" s="6">
        <f t="shared" si="7"/>
        <v>0</v>
      </c>
    </row>
    <row r="23" spans="1:26" s="28" customFormat="1" outlineLevel="1" collapsed="1" x14ac:dyDescent="0.25">
      <c r="A23" s="29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151.85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151.85</v>
      </c>
      <c r="M23" s="1"/>
      <c r="N23" s="5">
        <f t="shared" si="3"/>
        <v>0</v>
      </c>
      <c r="O23" s="14"/>
      <c r="P23" s="1">
        <f>SUM(OSRRefP22_2x_0)</f>
        <v>730.31999999999994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730.31999999999994</v>
      </c>
      <c r="Y23" s="1"/>
      <c r="Z23" s="5">
        <f t="shared" si="7"/>
        <v>0</v>
      </c>
    </row>
    <row r="24" spans="1:26" s="24" customFormat="1" hidden="1" outlineLevel="2" x14ac:dyDescent="0.25">
      <c r="A24" s="27"/>
      <c r="B24" s="11" t="str">
        <f>CONCATENATE("          ", "6282", " - ", "JANITORIAL/EXTERMINATOR EXPENS")</f>
        <v xml:space="preserve">          6282 - JANITORIAL/EXTERMINATOR EXPENS</v>
      </c>
      <c r="C24" s="11"/>
      <c r="D24" s="7">
        <v>151.85</v>
      </c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151.85</v>
      </c>
      <c r="M24" s="2"/>
      <c r="N24" s="6">
        <f t="shared" si="3"/>
        <v>0</v>
      </c>
      <c r="O24" s="11"/>
      <c r="P24" s="7">
        <v>607.4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607.4</v>
      </c>
      <c r="Y24" s="2"/>
      <c r="Z24" s="6">
        <f t="shared" si="7"/>
        <v>0</v>
      </c>
    </row>
    <row r="25" spans="1:26" s="24" customFormat="1" hidden="1" outlineLevel="2" x14ac:dyDescent="0.25">
      <c r="A25" s="27"/>
      <c r="B25" s="11" t="str">
        <f>CONCATENATE("          ", "6285", " - ", "JANITORIAL SERVICES")</f>
        <v xml:space="preserve">          6285 - JANITORIAL SERVICES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122.92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122.92</v>
      </c>
      <c r="Y25" s="2"/>
      <c r="Z25" s="6">
        <f t="shared" si="7"/>
        <v>0</v>
      </c>
    </row>
    <row r="26" spans="1:26" s="28" customFormat="1" outlineLevel="1" collapsed="1" x14ac:dyDescent="0.25">
      <c r="A26" s="29"/>
      <c r="B26" s="14" t="str">
        <f>CONCATENATE("     ","Telephone/Data Lines                              ")</f>
        <v xml:space="preserve">     Telephone/Data Lines                              </v>
      </c>
      <c r="C26" s="14"/>
      <c r="D26" s="1">
        <f>SUM(OSRRefD22_3x_0)</f>
        <v>30</v>
      </c>
      <c r="E26" s="1"/>
      <c r="F26" s="5">
        <f t="shared" ref="F26:F27" si="8">IF(D$12=0,0,D26/D$12)</f>
        <v>0</v>
      </c>
      <c r="G26" s="1"/>
      <c r="H26" s="1">
        <f>SUM(OSRRefH22_3x_0)</f>
        <v>0</v>
      </c>
      <c r="I26" s="1"/>
      <c r="J26" s="5">
        <f t="shared" ref="J26:J27" si="9">IF(H$12=0,0,H26/H$12)</f>
        <v>0</v>
      </c>
      <c r="K26" s="1"/>
      <c r="L26" s="1">
        <f t="shared" ref="L26:L27" si="10">+D26-H26</f>
        <v>30</v>
      </c>
      <c r="M26" s="1"/>
      <c r="N26" s="5">
        <f t="shared" ref="N26:N27" si="11">IF(H26=0,0,L26/H26)</f>
        <v>0</v>
      </c>
      <c r="O26" s="14"/>
      <c r="P26" s="1">
        <f>SUM(OSRRefP22_3x_0)</f>
        <v>120</v>
      </c>
      <c r="Q26" s="1"/>
      <c r="R26" s="5">
        <f t="shared" ref="R26:R27" si="12">IF(P$12=0,0,P26/P$12)</f>
        <v>0</v>
      </c>
      <c r="S26" s="1"/>
      <c r="T26" s="1">
        <f>SUM(OSRRefT22_3x_0)</f>
        <v>0</v>
      </c>
      <c r="U26" s="1"/>
      <c r="V26" s="5">
        <f t="shared" ref="V26:V27" si="13">IF(T$12=0,0,T26/T$12)</f>
        <v>0</v>
      </c>
      <c r="W26" s="1"/>
      <c r="X26" s="1">
        <f t="shared" ref="X26:X27" si="14">+P26-T26</f>
        <v>120</v>
      </c>
      <c r="Y26" s="1"/>
      <c r="Z26" s="5">
        <f t="shared" ref="Z26:Z27" si="15">IF(T26=0,0,X26/T26)</f>
        <v>0</v>
      </c>
    </row>
    <row r="27" spans="1:26" s="24" customFormat="1" hidden="1" outlineLevel="2" x14ac:dyDescent="0.25">
      <c r="A27" s="27"/>
      <c r="B27" s="11" t="str">
        <f>CONCATENATE("          ", "6309", " - ", "TELEPHONE")</f>
        <v xml:space="preserve">          6309 - TELEPHONE</v>
      </c>
      <c r="C27" s="11"/>
      <c r="D27" s="7">
        <v>30</v>
      </c>
      <c r="E27" s="2"/>
      <c r="F27" s="6">
        <f t="shared" si="8"/>
        <v>0</v>
      </c>
      <c r="G27" s="2"/>
      <c r="H27" s="7"/>
      <c r="I27" s="2"/>
      <c r="J27" s="6">
        <f t="shared" si="9"/>
        <v>0</v>
      </c>
      <c r="K27" s="2"/>
      <c r="L27" s="7">
        <f t="shared" si="10"/>
        <v>30</v>
      </c>
      <c r="M27" s="2"/>
      <c r="N27" s="6">
        <f t="shared" si="11"/>
        <v>0</v>
      </c>
      <c r="O27" s="11"/>
      <c r="P27" s="7">
        <v>120</v>
      </c>
      <c r="Q27" s="2"/>
      <c r="R27" s="6">
        <f t="shared" si="12"/>
        <v>0</v>
      </c>
      <c r="S27" s="2"/>
      <c r="T27" s="7"/>
      <c r="U27" s="2"/>
      <c r="V27" s="6">
        <f t="shared" si="13"/>
        <v>0</v>
      </c>
      <c r="W27" s="2"/>
      <c r="X27" s="7">
        <f t="shared" si="14"/>
        <v>120</v>
      </c>
      <c r="Y27" s="2"/>
      <c r="Z27" s="6">
        <f t="shared" si="15"/>
        <v>0</v>
      </c>
    </row>
    <row r="28" spans="1:26" s="60" customFormat="1" x14ac:dyDescent="0.25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5" t="s">
        <v>293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6" t="s">
        <v>277</v>
      </c>
      <c r="C31" s="26"/>
      <c r="D31" s="21">
        <f>+D16-D18+D29</f>
        <v>-770.79000000000008</v>
      </c>
      <c r="E31" s="13"/>
      <c r="F31" s="20">
        <f>IF(D$12=0,0,D31/D$12)</f>
        <v>0</v>
      </c>
      <c r="G31" s="13"/>
      <c r="H31" s="21">
        <f>+H16-H18+H29</f>
        <v>-588</v>
      </c>
      <c r="I31" s="13"/>
      <c r="J31" s="20">
        <f>IF(H$12=0,0,H31/H$12)</f>
        <v>0</v>
      </c>
      <c r="K31" s="15"/>
      <c r="L31" s="21">
        <f>+D31-H31</f>
        <v>-182.79000000000008</v>
      </c>
      <c r="M31" s="15"/>
      <c r="N31" s="20">
        <f>IF(H31=0,0,L31/H31)</f>
        <v>0.31086734693877566</v>
      </c>
      <c r="O31" s="25"/>
      <c r="P31" s="21">
        <f>+P16-P18+P29</f>
        <v>-3253.9800000000005</v>
      </c>
      <c r="Q31" s="13"/>
      <c r="R31" s="20">
        <f>IF(P$12=0,0,P31/P$12)</f>
        <v>0</v>
      </c>
      <c r="S31" s="13"/>
      <c r="T31" s="21">
        <f>+T16-T18+T29</f>
        <v>-2352</v>
      </c>
      <c r="U31" s="13"/>
      <c r="V31" s="20">
        <f>IF(T$12=0,0,T31/T$12)</f>
        <v>0</v>
      </c>
      <c r="W31" s="15"/>
      <c r="X31" s="21">
        <f>+P31-T31</f>
        <v>-901.98000000000047</v>
      </c>
      <c r="Y31" s="15"/>
      <c r="Z31" s="20">
        <f>IF(T31=0,0,X31/T31)</f>
        <v>0.3834948979591839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128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6" t="s">
        <v>126</v>
      </c>
      <c r="C35" s="26"/>
      <c r="D35" s="31">
        <f>+D31-D33</f>
        <v>-770.79000000000008</v>
      </c>
      <c r="E35" s="13"/>
      <c r="F35" s="33">
        <f>IF(D$12=0,0,D35/D$12)</f>
        <v>0</v>
      </c>
      <c r="G35" s="13"/>
      <c r="H35" s="31">
        <f>+H31-H33</f>
        <v>-588</v>
      </c>
      <c r="I35" s="13"/>
      <c r="J35" s="33">
        <f>IF(H$12=0,0,H35/H$12)</f>
        <v>0</v>
      </c>
      <c r="K35" s="15"/>
      <c r="L35" s="31">
        <f>D35-H35</f>
        <v>-182.79000000000008</v>
      </c>
      <c r="M35" s="15"/>
      <c r="N35" s="33">
        <f>IF(H35=0,0,L35/H35)</f>
        <v>0.31086734693877566</v>
      </c>
      <c r="O35" s="25"/>
      <c r="P35" s="31">
        <f>+P31-P33</f>
        <v>-3253.9800000000005</v>
      </c>
      <c r="Q35" s="13"/>
      <c r="R35" s="33">
        <f>IF(P$12=0,0,P35/P$12)</f>
        <v>0</v>
      </c>
      <c r="S35" s="13"/>
      <c r="T35" s="31">
        <f>+T31-T33</f>
        <v>-2352</v>
      </c>
      <c r="U35" s="13"/>
      <c r="V35" s="33">
        <f>IF(T$12=0,0,T35/T$12)</f>
        <v>0</v>
      </c>
      <c r="W35" s="15"/>
      <c r="X35" s="31">
        <f>P35-T35</f>
        <v>-901.98000000000047</v>
      </c>
      <c r="Y35" s="15"/>
      <c r="Z35" s="33">
        <f>IF(T35=0,0,X35/T35)</f>
        <v>0.3834948979591839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6" t="s">
        <v>294</v>
      </c>
      <c r="C38" s="26"/>
      <c r="D38" s="35">
        <f>SUM(D35:D37)</f>
        <v>-770.79000000000008</v>
      </c>
      <c r="E38" s="13"/>
      <c r="F38" s="32">
        <f>IF(D$12=0,0,D38/D$12)</f>
        <v>0</v>
      </c>
      <c r="G38" s="13"/>
      <c r="H38" s="35">
        <f>SUM(H35:H37)</f>
        <v>-588</v>
      </c>
      <c r="I38" s="13"/>
      <c r="J38" s="32">
        <f>IF(H$12=0,0,H38/H$12)</f>
        <v>0</v>
      </c>
      <c r="K38" s="15"/>
      <c r="L38" s="35">
        <f>+D38-H38</f>
        <v>-182.79000000000008</v>
      </c>
      <c r="M38" s="15"/>
      <c r="N38" s="32">
        <f>IF(H38=0,0,L38/H38)</f>
        <v>0.31086734693877566</v>
      </c>
      <c r="O38" s="25"/>
      <c r="P38" s="35">
        <f>SUM(P35:P37)</f>
        <v>-3253.9800000000005</v>
      </c>
      <c r="Q38" s="13"/>
      <c r="R38" s="32">
        <f>IF(P$12=0,0,P38/P$12)</f>
        <v>0</v>
      </c>
      <c r="S38" s="13"/>
      <c r="T38" s="35">
        <f>SUM(T35:T37)</f>
        <v>-2352</v>
      </c>
      <c r="U38" s="13"/>
      <c r="V38" s="32">
        <f>IF(T$12=0,0,T38/T$12)</f>
        <v>0</v>
      </c>
      <c r="W38" s="15"/>
      <c r="X38" s="35">
        <f>+P38-T38</f>
        <v>-901.98000000000047</v>
      </c>
      <c r="Y38" s="15"/>
      <c r="Z38" s="32">
        <f>IF(T38=0,0,X38/T38)</f>
        <v>0.3834948979591839</v>
      </c>
    </row>
    <row r="39" spans="1:26" ht="15.75" thickTop="1" x14ac:dyDescent="0.25">
      <c r="A39" s="9"/>
      <c r="C39" s="9"/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9">
        <v>44517.962875613426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62" t="s">
        <v>56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7"/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","321", " - ", "Corner Market")</f>
        <v>Department 321 - Corner Market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15361</v>
      </c>
      <c r="I12" s="4"/>
      <c r="J12" s="12"/>
      <c r="K12" s="4"/>
      <c r="L12" s="4">
        <f t="shared" ref="L12:L14" si="0">+D12-H12</f>
        <v>-15361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33453</v>
      </c>
      <c r="U12" s="4"/>
      <c r="V12" s="12"/>
      <c r="W12" s="4"/>
      <c r="X12" s="4">
        <f t="shared" ref="X12:X14" si="2">+P12-T12</f>
        <v>-33453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3567</v>
      </c>
      <c r="I13" s="2"/>
      <c r="J13" s="19"/>
      <c r="K13" s="2"/>
      <c r="L13" s="2">
        <f t="shared" si="0"/>
        <v>-3567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7768</v>
      </c>
      <c r="U13" s="2"/>
      <c r="V13" s="19"/>
      <c r="W13" s="2"/>
      <c r="X13" s="2">
        <f t="shared" si="2"/>
        <v>-7768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11794</v>
      </c>
      <c r="I14" s="2"/>
      <c r="J14" s="19"/>
      <c r="K14" s="2"/>
      <c r="L14" s="2">
        <f t="shared" si="0"/>
        <v>-11794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25685</v>
      </c>
      <c r="U14" s="2"/>
      <c r="V14" s="19"/>
      <c r="W14" s="2"/>
      <c r="X14" s="2">
        <f t="shared" si="2"/>
        <v>-25685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257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7527</v>
      </c>
      <c r="I16" s="4"/>
      <c r="J16" s="12">
        <f t="shared" ref="J16:J17" si="7">IF(H$12=0,0,H16/H$12)</f>
        <v>0.49000716099212288</v>
      </c>
      <c r="K16" s="4"/>
      <c r="L16" s="4">
        <f t="shared" ref="L16:L17" si="8">+D16-H16</f>
        <v>-7527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16392</v>
      </c>
      <c r="U16" s="4"/>
      <c r="V16" s="12">
        <f t="shared" ref="V16:V17" si="11">IF(T$12=0,0,T16/T$12)</f>
        <v>0.4900008967805578</v>
      </c>
      <c r="W16" s="4"/>
      <c r="X16" s="4">
        <f t="shared" ref="X16:X17" si="12">+P16-T16</f>
        <v>-16392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7527</v>
      </c>
      <c r="I17" s="2"/>
      <c r="J17" s="19">
        <f t="shared" si="7"/>
        <v>0.49000716099212288</v>
      </c>
      <c r="K17" s="2"/>
      <c r="L17" s="2">
        <f t="shared" si="8"/>
        <v>-7527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16392</v>
      </c>
      <c r="U17" s="2"/>
      <c r="V17" s="19">
        <f t="shared" si="11"/>
        <v>0.4900008967805578</v>
      </c>
      <c r="W17" s="2"/>
      <c r="X17" s="2">
        <f t="shared" si="12"/>
        <v>-16392</v>
      </c>
      <c r="Y17" s="2"/>
      <c r="Z17" s="19">
        <f t="shared" si="13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108</v>
      </c>
      <c r="C19" s="26"/>
      <c r="D19" s="21">
        <f>D12-D16</f>
        <v>0</v>
      </c>
      <c r="E19" s="13"/>
      <c r="F19" s="20">
        <f>IF(D$12=0,0,D19/D$12)</f>
        <v>0</v>
      </c>
      <c r="G19" s="13"/>
      <c r="H19" s="21">
        <f>H12-H16</f>
        <v>7834</v>
      </c>
      <c r="I19" s="13"/>
      <c r="J19" s="20">
        <f>IF(H$12=0,0,H19/H$12)</f>
        <v>0.50999283900787706</v>
      </c>
      <c r="K19" s="15"/>
      <c r="L19" s="21">
        <f>+D19-H19</f>
        <v>-7834</v>
      </c>
      <c r="M19" s="15"/>
      <c r="N19" s="20">
        <f>IF(H19=0,0,L19/H19)</f>
        <v>-1</v>
      </c>
      <c r="O19" s="25"/>
      <c r="P19" s="21">
        <f>P12-P16</f>
        <v>0</v>
      </c>
      <c r="Q19" s="13"/>
      <c r="R19" s="20">
        <f>IF(P$12=0,0,P19/P$12)</f>
        <v>0</v>
      </c>
      <c r="S19" s="13"/>
      <c r="T19" s="21">
        <f>T12-T16</f>
        <v>17061</v>
      </c>
      <c r="U19" s="13"/>
      <c r="V19" s="20">
        <f>IF(T$12=0,0,T19/T$12)</f>
        <v>0.5099991032194422</v>
      </c>
      <c r="W19" s="15"/>
      <c r="X19" s="21">
        <f>+P19-T19</f>
        <v>-17061</v>
      </c>
      <c r="Y19" s="15"/>
      <c r="Z19" s="20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295</v>
      </c>
      <c r="C21" s="10"/>
      <c r="D21" s="22">
        <f>SUM(OSRRefD22x_0)</f>
        <v>1610.94</v>
      </c>
      <c r="E21" s="22"/>
      <c r="F21" s="34">
        <f t="shared" ref="F21:F31" si="14">IF(D$12=0,0,D21/D$12)</f>
        <v>0</v>
      </c>
      <c r="G21" s="22"/>
      <c r="H21" s="22">
        <f>SUM(OSRRefH22x_0)</f>
        <v>10934.642125</v>
      </c>
      <c r="I21" s="22"/>
      <c r="J21" s="34">
        <f t="shared" ref="J21:J31" si="15">IF(H$12=0,0,H21/H$12)</f>
        <v>0.71184441930863873</v>
      </c>
      <c r="K21" s="4"/>
      <c r="L21" s="22">
        <f t="shared" ref="L21:L31" si="16">+D21-H21</f>
        <v>-9323.7021249999998</v>
      </c>
      <c r="M21" s="4"/>
      <c r="N21" s="34">
        <f t="shared" ref="N21:N31" si="17">IF(H21=0,0,L21/H21)</f>
        <v>-0.85267556253012711</v>
      </c>
      <c r="O21" s="10"/>
      <c r="P21" s="22">
        <f>SUM(OSRRefP22x_0)</f>
        <v>6383.79</v>
      </c>
      <c r="Q21" s="22"/>
      <c r="R21" s="34">
        <f t="shared" ref="R21:R31" si="18">IF(P$12=0,0,P21/P$12)</f>
        <v>0</v>
      </c>
      <c r="S21" s="22"/>
      <c r="T21" s="22">
        <f>SUM(OSRRefT22x_0)</f>
        <v>30130.859349999999</v>
      </c>
      <c r="U21" s="22"/>
      <c r="V21" s="34">
        <f t="shared" ref="V21:V31" si="19">IF(T$12=0,0,T21/T$12)</f>
        <v>0.90069229516037419</v>
      </c>
      <c r="W21" s="4"/>
      <c r="X21" s="22">
        <f t="shared" ref="X21:X31" si="20">+P21-T21</f>
        <v>-23747.069349999998</v>
      </c>
      <c r="Y21" s="4"/>
      <c r="Z21" s="34">
        <f t="shared" ref="Z21:Z31" si="21">IF(T21=0,0,X21/T21)</f>
        <v>-0.78813116725792953</v>
      </c>
    </row>
    <row r="22" spans="1:26" s="28" customFormat="1" outlineLevel="1" collapsed="1" x14ac:dyDescent="0.25">
      <c r="A22" s="29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629.39712499999996</v>
      </c>
      <c r="I22" s="1"/>
      <c r="J22" s="5">
        <f t="shared" si="15"/>
        <v>4.0973707766421452E-2</v>
      </c>
      <c r="K22" s="1"/>
      <c r="L22" s="1">
        <f t="shared" si="16"/>
        <v>-629.39712499999996</v>
      </c>
      <c r="M22" s="1"/>
      <c r="N22" s="5">
        <f t="shared" si="17"/>
        <v>-1</v>
      </c>
      <c r="O22" s="14"/>
      <c r="P22" s="1">
        <f>SUM(OSRRefP22_0x_0)</f>
        <v>84.99</v>
      </c>
      <c r="Q22" s="1"/>
      <c r="R22" s="5">
        <f t="shared" si="18"/>
        <v>0</v>
      </c>
      <c r="S22" s="1"/>
      <c r="T22" s="1">
        <f>SUM(OSRRefT22_0x_0)</f>
        <v>1685.7993500000002</v>
      </c>
      <c r="U22" s="1"/>
      <c r="V22" s="5">
        <f t="shared" si="19"/>
        <v>5.0393069380922494E-2</v>
      </c>
      <c r="W22" s="1"/>
      <c r="X22" s="1">
        <f t="shared" si="20"/>
        <v>-1600.8093500000002</v>
      </c>
      <c r="Y22" s="1"/>
      <c r="Z22" s="5">
        <f t="shared" si="21"/>
        <v>-0.94958474743746935</v>
      </c>
    </row>
    <row r="23" spans="1:26" s="24" customFormat="1" hidden="1" outlineLevel="2" x14ac:dyDescent="0.25">
      <c r="A23" s="27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180.80212499999999</v>
      </c>
      <c r="I23" s="2"/>
      <c r="J23" s="6">
        <f t="shared" si="15"/>
        <v>1.1770205390274071E-2</v>
      </c>
      <c r="K23" s="2"/>
      <c r="L23" s="7">
        <f t="shared" si="16"/>
        <v>-180.80212499999999</v>
      </c>
      <c r="M23" s="2"/>
      <c r="N23" s="6">
        <f t="shared" si="17"/>
        <v>-1</v>
      </c>
      <c r="O23" s="11"/>
      <c r="P23" s="7">
        <v>6.91</v>
      </c>
      <c r="Q23" s="2"/>
      <c r="R23" s="6">
        <f t="shared" si="18"/>
        <v>0</v>
      </c>
      <c r="S23" s="2"/>
      <c r="T23" s="7">
        <v>565.93934999999999</v>
      </c>
      <c r="U23" s="2"/>
      <c r="V23" s="6">
        <f t="shared" si="19"/>
        <v>1.6917446865751948E-2</v>
      </c>
      <c r="W23" s="2"/>
      <c r="X23" s="7">
        <f t="shared" si="20"/>
        <v>-559.02935000000002</v>
      </c>
      <c r="Y23" s="2"/>
      <c r="Z23" s="6">
        <f t="shared" si="21"/>
        <v>-0.98779021108887377</v>
      </c>
    </row>
    <row r="24" spans="1:26" s="24" customFormat="1" hidden="1" outlineLevel="2" x14ac:dyDescent="0.25">
      <c r="A24" s="27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242.88215</v>
      </c>
      <c r="I24" s="2"/>
      <c r="J24" s="6">
        <f t="shared" si="15"/>
        <v>1.5811610572228369E-2</v>
      </c>
      <c r="K24" s="2"/>
      <c r="L24" s="7">
        <f t="shared" si="16"/>
        <v>-242.88215</v>
      </c>
      <c r="M24" s="2"/>
      <c r="N24" s="6">
        <f t="shared" si="17"/>
        <v>-1</v>
      </c>
      <c r="O24" s="11"/>
      <c r="P24" s="7"/>
      <c r="Q24" s="2"/>
      <c r="R24" s="6">
        <f t="shared" si="18"/>
        <v>0</v>
      </c>
      <c r="S24" s="2"/>
      <c r="T24" s="7">
        <v>606.32420000000002</v>
      </c>
      <c r="U24" s="2"/>
      <c r="V24" s="6">
        <f t="shared" si="19"/>
        <v>1.8124658476070907E-2</v>
      </c>
      <c r="W24" s="2"/>
      <c r="X24" s="7">
        <f t="shared" si="20"/>
        <v>-606.32420000000002</v>
      </c>
      <c r="Y24" s="2"/>
      <c r="Z24" s="6">
        <f t="shared" si="21"/>
        <v>-1</v>
      </c>
    </row>
    <row r="25" spans="1:26" s="24" customFormat="1" hidden="1" outlineLevel="2" x14ac:dyDescent="0.25">
      <c r="A25" s="27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/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0</v>
      </c>
      <c r="Y25" s="2"/>
      <c r="Z25" s="6">
        <f t="shared" si="21"/>
        <v>0</v>
      </c>
    </row>
    <row r="26" spans="1:26" s="24" customFormat="1" hidden="1" outlineLevel="2" x14ac:dyDescent="0.25">
      <c r="A26" s="27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13.457850000000001</v>
      </c>
      <c r="I26" s="2"/>
      <c r="J26" s="6">
        <f t="shared" si="15"/>
        <v>8.7610507128442158E-4</v>
      </c>
      <c r="K26" s="2"/>
      <c r="L26" s="7">
        <f t="shared" si="16"/>
        <v>-13.457850000000001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33.595799999999997</v>
      </c>
      <c r="U26" s="2"/>
      <c r="V26" s="6">
        <f t="shared" si="19"/>
        <v>1.0042686754551161E-3</v>
      </c>
      <c r="W26" s="2"/>
      <c r="X26" s="7">
        <f t="shared" si="20"/>
        <v>-33.595799999999997</v>
      </c>
      <c r="Y26" s="2"/>
      <c r="Z26" s="6">
        <f t="shared" si="21"/>
        <v>-1</v>
      </c>
    </row>
    <row r="27" spans="1:26" s="24" customFormat="1" hidden="1" outlineLevel="2" x14ac:dyDescent="0.25">
      <c r="A27" s="27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/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0</v>
      </c>
      <c r="Y27" s="2"/>
      <c r="Z27" s="6">
        <f t="shared" si="21"/>
        <v>0</v>
      </c>
    </row>
    <row r="28" spans="1:26" s="24" customFormat="1" hidden="1" outlineLevel="2" x14ac:dyDescent="0.25">
      <c r="A28" s="27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0</v>
      </c>
      <c r="Y29" s="2"/>
      <c r="Z29" s="6">
        <f t="shared" si="21"/>
        <v>0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192.255</v>
      </c>
      <c r="I30" s="2"/>
      <c r="J30" s="6">
        <f t="shared" si="15"/>
        <v>1.2515786732634595E-2</v>
      </c>
      <c r="K30" s="2"/>
      <c r="L30" s="7">
        <f t="shared" si="16"/>
        <v>-192.255</v>
      </c>
      <c r="M30" s="2"/>
      <c r="N30" s="6">
        <f t="shared" si="17"/>
        <v>-1</v>
      </c>
      <c r="O30" s="11"/>
      <c r="P30" s="7"/>
      <c r="Q30" s="2"/>
      <c r="R30" s="6">
        <f t="shared" si="18"/>
        <v>0</v>
      </c>
      <c r="S30" s="2"/>
      <c r="T30" s="7">
        <v>479.94</v>
      </c>
      <c r="U30" s="2"/>
      <c r="V30" s="6">
        <f t="shared" si="19"/>
        <v>1.4346695363644517E-2</v>
      </c>
      <c r="W30" s="2"/>
      <c r="X30" s="7">
        <f t="shared" si="20"/>
        <v>-479.94</v>
      </c>
      <c r="Y30" s="2"/>
      <c r="Z30" s="6">
        <f t="shared" si="21"/>
        <v>-1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/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>
        <v>78.08</v>
      </c>
      <c r="Q31" s="2"/>
      <c r="R31" s="6">
        <f t="shared" si="18"/>
        <v>0</v>
      </c>
      <c r="S31" s="2"/>
      <c r="T31" s="7"/>
      <c r="U31" s="2"/>
      <c r="V31" s="6">
        <f t="shared" si="19"/>
        <v>0</v>
      </c>
      <c r="W31" s="2"/>
      <c r="X31" s="7">
        <f t="shared" si="20"/>
        <v>78.08</v>
      </c>
      <c r="Y31" s="2"/>
      <c r="Z31" s="6">
        <f t="shared" si="21"/>
        <v>0</v>
      </c>
    </row>
    <row r="32" spans="1:26" s="28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6216.2449999999999</v>
      </c>
      <c r="I32" s="1"/>
      <c r="J32" s="5">
        <f t="shared" ref="J32:J42" si="23">IF(H$12=0,0,H32/H$12)</f>
        <v>0.40467710435518522</v>
      </c>
      <c r="K32" s="1"/>
      <c r="L32" s="1">
        <f t="shared" ref="L32:L42" si="24">+D32-H32</f>
        <v>-6216.2449999999999</v>
      </c>
      <c r="M32" s="1"/>
      <c r="N32" s="5">
        <f t="shared" ref="N32:N42" si="25">IF(H32=0,0,L32/H32)</f>
        <v>-1</v>
      </c>
      <c r="O32" s="14"/>
      <c r="P32" s="1">
        <f>SUM(OSRRefP22_1x_0)</f>
        <v>90.3</v>
      </c>
      <c r="Q32" s="1"/>
      <c r="R32" s="5">
        <f t="shared" ref="R32:R42" si="26">IF(P$12=0,0,P32/P$12)</f>
        <v>0</v>
      </c>
      <c r="S32" s="1"/>
      <c r="T32" s="1">
        <f>SUM(OSRRefT22_1x_0)</f>
        <v>15518.06</v>
      </c>
      <c r="U32" s="1"/>
      <c r="V32" s="5">
        <f t="shared" ref="V32:V42" si="27">IF(T$12=0,0,T32/T$12)</f>
        <v>0.46387648342450599</v>
      </c>
      <c r="W32" s="1"/>
      <c r="X32" s="1">
        <f t="shared" ref="X32:X42" si="28">+P32-T32</f>
        <v>-15427.76</v>
      </c>
      <c r="Y32" s="1"/>
      <c r="Z32" s="5">
        <f t="shared" ref="Z32:Z42" si="29">IF(T32=0,0,X32/T32)</f>
        <v>-0.99418097365263447</v>
      </c>
    </row>
    <row r="33" spans="1:26" s="24" customFormat="1" hidden="1" outlineLevel="2" x14ac:dyDescent="0.25">
      <c r="A33" s="27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25">
      <c r="A34" s="27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7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7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2"/>
        <v>0</v>
      </c>
      <c r="G36" s="2"/>
      <c r="H36" s="7">
        <v>2291.625</v>
      </c>
      <c r="I36" s="2"/>
      <c r="J36" s="6">
        <f t="shared" si="23"/>
        <v>0.14918462339691427</v>
      </c>
      <c r="K36" s="2"/>
      <c r="L36" s="7">
        <f t="shared" si="24"/>
        <v>-2291.625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7173.15</v>
      </c>
      <c r="U36" s="2"/>
      <c r="V36" s="6">
        <f t="shared" si="27"/>
        <v>0.21442471527217288</v>
      </c>
      <c r="W36" s="2"/>
      <c r="X36" s="7">
        <f t="shared" si="28"/>
        <v>-7173.15</v>
      </c>
      <c r="Y36" s="2"/>
      <c r="Z36" s="6">
        <f t="shared" si="29"/>
        <v>-1</v>
      </c>
    </row>
    <row r="37" spans="1:26" s="24" customFormat="1" hidden="1" outlineLevel="2" x14ac:dyDescent="0.25">
      <c r="A37" s="27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>
        <v>90.3</v>
      </c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90.3</v>
      </c>
      <c r="Y37" s="2"/>
      <c r="Z37" s="6">
        <f t="shared" si="29"/>
        <v>0</v>
      </c>
    </row>
    <row r="38" spans="1:26" s="24" customFormat="1" hidden="1" outlineLevel="2" x14ac:dyDescent="0.25">
      <c r="A38" s="27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7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3924.62</v>
      </c>
      <c r="I40" s="2"/>
      <c r="J40" s="6">
        <f t="shared" si="23"/>
        <v>0.25549248095827093</v>
      </c>
      <c r="K40" s="2"/>
      <c r="L40" s="7">
        <f t="shared" si="24"/>
        <v>-3924.62</v>
      </c>
      <c r="M40" s="2"/>
      <c r="N40" s="6">
        <f t="shared" si="25"/>
        <v>-1</v>
      </c>
      <c r="O40" s="11"/>
      <c r="P40" s="7"/>
      <c r="Q40" s="2"/>
      <c r="R40" s="6">
        <f t="shared" si="26"/>
        <v>0</v>
      </c>
      <c r="S40" s="2"/>
      <c r="T40" s="7">
        <v>8344.91</v>
      </c>
      <c r="U40" s="2"/>
      <c r="V40" s="6">
        <f t="shared" si="27"/>
        <v>0.24945176815233311</v>
      </c>
      <c r="W40" s="2"/>
      <c r="X40" s="7">
        <f t="shared" si="28"/>
        <v>-8344.91</v>
      </c>
      <c r="Y40" s="2"/>
      <c r="Z40" s="6">
        <f t="shared" si="29"/>
        <v>-1</v>
      </c>
    </row>
    <row r="41" spans="1:26" s="24" customFormat="1" hidden="1" outlineLevel="2" x14ac:dyDescent="0.25">
      <c r="A41" s="27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25">
      <c r="A42" s="27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8" customFormat="1" outlineLevel="1" collapsed="1" x14ac:dyDescent="0.25">
      <c r="A43" s="29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3" si="30">IF(D$12=0,0,D43/D$12)</f>
        <v>0</v>
      </c>
      <c r="G43" s="1"/>
      <c r="H43" s="1">
        <f>SUM(OSRRefH22_2x_0)</f>
        <v>0</v>
      </c>
      <c r="I43" s="1"/>
      <c r="J43" s="5">
        <f t="shared" ref="J43:J53" si="31">IF(H$12=0,0,H43/H$12)</f>
        <v>0</v>
      </c>
      <c r="K43" s="1"/>
      <c r="L43" s="1">
        <f t="shared" ref="L43:L53" si="32">+D43-H43</f>
        <v>0</v>
      </c>
      <c r="M43" s="1"/>
      <c r="N43" s="5">
        <f t="shared" ref="N43:N53" si="33">IF(H43=0,0,L43/H43)</f>
        <v>0</v>
      </c>
      <c r="O43" s="14"/>
      <c r="P43" s="1">
        <f>SUM(OSRRefP22_2x_0)</f>
        <v>0</v>
      </c>
      <c r="Q43" s="1"/>
      <c r="R43" s="5">
        <f t="shared" ref="R43:R53" si="34">IF(P$12=0,0,P43/P$12)</f>
        <v>0</v>
      </c>
      <c r="S43" s="1"/>
      <c r="T43" s="1">
        <f>SUM(OSRRefT22_2x_0)</f>
        <v>0</v>
      </c>
      <c r="U43" s="1"/>
      <c r="V43" s="5">
        <f t="shared" ref="V43:V53" si="35">IF(T$12=0,0,T43/T$12)</f>
        <v>0</v>
      </c>
      <c r="W43" s="1"/>
      <c r="X43" s="1">
        <f t="shared" ref="X43:X53" si="36">+P43-T43</f>
        <v>0</v>
      </c>
      <c r="Y43" s="1"/>
      <c r="Z43" s="5">
        <f t="shared" ref="Z43:Z53" si="37">IF(T43=0,0,X43/T43)</f>
        <v>0</v>
      </c>
    </row>
    <row r="44" spans="1:26" s="24" customFormat="1" hidden="1" outlineLevel="2" x14ac:dyDescent="0.25">
      <c r="A44" s="27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30"/>
        <v>0</v>
      </c>
      <c r="G44" s="2"/>
      <c r="H44" s="7">
        <v>0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/>
      <c r="Q44" s="2"/>
      <c r="R44" s="6">
        <f t="shared" si="34"/>
        <v>0</v>
      </c>
      <c r="S44" s="2"/>
      <c r="T44" s="7">
        <v>0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8" customFormat="1" outlineLevel="1" collapsed="1" x14ac:dyDescent="0.25">
      <c r="A45" s="29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99.95</v>
      </c>
      <c r="E45" s="1"/>
      <c r="F45" s="5">
        <f t="shared" si="30"/>
        <v>0</v>
      </c>
      <c r="G45" s="1"/>
      <c r="H45" s="1">
        <f>SUM(OSRRefH22_3x_0)</f>
        <v>524</v>
      </c>
      <c r="I45" s="1"/>
      <c r="J45" s="5">
        <f t="shared" si="31"/>
        <v>3.4112362476401273E-2</v>
      </c>
      <c r="K45" s="1"/>
      <c r="L45" s="1">
        <f t="shared" si="32"/>
        <v>-424.05</v>
      </c>
      <c r="M45" s="1"/>
      <c r="N45" s="5">
        <f t="shared" si="33"/>
        <v>-0.80925572519083977</v>
      </c>
      <c r="O45" s="14"/>
      <c r="P45" s="1">
        <f>SUM(OSRRefP22_3x_0)</f>
        <v>375.36</v>
      </c>
      <c r="Q45" s="1"/>
      <c r="R45" s="5">
        <f t="shared" si="34"/>
        <v>0</v>
      </c>
      <c r="S45" s="1"/>
      <c r="T45" s="1">
        <f>SUM(OSRRefT22_3x_0)</f>
        <v>1141</v>
      </c>
      <c r="U45" s="1"/>
      <c r="V45" s="5">
        <f t="shared" si="35"/>
        <v>3.4107553881565181E-2</v>
      </c>
      <c r="W45" s="1"/>
      <c r="X45" s="1">
        <f t="shared" si="36"/>
        <v>-765.64</v>
      </c>
      <c r="Y45" s="1"/>
      <c r="Z45" s="5">
        <f t="shared" si="37"/>
        <v>-0.67102541630148993</v>
      </c>
    </row>
    <row r="46" spans="1:26" s="24" customFormat="1" hidden="1" outlineLevel="2" x14ac:dyDescent="0.25">
      <c r="A46" s="27"/>
      <c r="B46" s="11" t="str">
        <f>CONCATENATE("          ", "6381", " - ", "BANK/CREDIT CARD FEES")</f>
        <v xml:space="preserve">          6381 - BANK/CREDIT CARD FEES</v>
      </c>
      <c r="C46" s="11"/>
      <c r="D46" s="7">
        <v>99.95</v>
      </c>
      <c r="E46" s="2"/>
      <c r="F46" s="6">
        <f t="shared" si="30"/>
        <v>0</v>
      </c>
      <c r="G46" s="2"/>
      <c r="H46" s="7">
        <v>524</v>
      </c>
      <c r="I46" s="2"/>
      <c r="J46" s="6">
        <f t="shared" si="31"/>
        <v>3.4112362476401273E-2</v>
      </c>
      <c r="K46" s="2"/>
      <c r="L46" s="7">
        <f t="shared" si="32"/>
        <v>-424.05</v>
      </c>
      <c r="M46" s="2"/>
      <c r="N46" s="6">
        <f t="shared" si="33"/>
        <v>-0.80925572519083977</v>
      </c>
      <c r="O46" s="11"/>
      <c r="P46" s="7">
        <v>375.36</v>
      </c>
      <c r="Q46" s="2"/>
      <c r="R46" s="6">
        <f t="shared" si="34"/>
        <v>0</v>
      </c>
      <c r="S46" s="2"/>
      <c r="T46" s="7">
        <v>1141</v>
      </c>
      <c r="U46" s="2"/>
      <c r="V46" s="6">
        <f t="shared" si="35"/>
        <v>3.4107553881565181E-2</v>
      </c>
      <c r="W46" s="2"/>
      <c r="X46" s="7">
        <f t="shared" si="36"/>
        <v>-765.64</v>
      </c>
      <c r="Y46" s="2"/>
      <c r="Z46" s="6">
        <f t="shared" si="37"/>
        <v>-0.67102541630148993</v>
      </c>
    </row>
    <row r="47" spans="1:26" s="28" customFormat="1" outlineLevel="1" collapsed="1" x14ac:dyDescent="0.25">
      <c r="A47" s="29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SUM(OSRRefD22_4x_0)</f>
        <v>264.60000000000002</v>
      </c>
      <c r="E47" s="1"/>
      <c r="F47" s="5">
        <f t="shared" si="30"/>
        <v>0</v>
      </c>
      <c r="G47" s="1"/>
      <c r="H47" s="1">
        <f>SUM(OSRRefH22_4x_0)</f>
        <v>265</v>
      </c>
      <c r="I47" s="1"/>
      <c r="J47" s="5">
        <f t="shared" si="31"/>
        <v>1.7251481023370874E-2</v>
      </c>
      <c r="K47" s="1"/>
      <c r="L47" s="1">
        <f t="shared" si="32"/>
        <v>-0.39999999999997726</v>
      </c>
      <c r="M47" s="1"/>
      <c r="N47" s="5">
        <f t="shared" si="33"/>
        <v>-1.5094339622640652E-3</v>
      </c>
      <c r="O47" s="14"/>
      <c r="P47" s="1">
        <f>SUM(OSRRefP22_4x_0)</f>
        <v>3490.76</v>
      </c>
      <c r="Q47" s="1"/>
      <c r="R47" s="5">
        <f t="shared" si="34"/>
        <v>0</v>
      </c>
      <c r="S47" s="1"/>
      <c r="T47" s="1">
        <f>SUM(OSRRefT22_4x_0)</f>
        <v>3490</v>
      </c>
      <c r="U47" s="1"/>
      <c r="V47" s="5">
        <f t="shared" si="35"/>
        <v>0.10432547155710997</v>
      </c>
      <c r="W47" s="1"/>
      <c r="X47" s="1">
        <f t="shared" si="36"/>
        <v>0.76000000000021828</v>
      </c>
      <c r="Y47" s="1"/>
      <c r="Z47" s="5">
        <f t="shared" si="37"/>
        <v>2.1776504298000524E-4</v>
      </c>
    </row>
    <row r="48" spans="1:26" s="24" customFormat="1" hidden="1" outlineLevel="2" x14ac:dyDescent="0.25">
      <c r="A48" s="27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264.60000000000002</v>
      </c>
      <c r="E48" s="2"/>
      <c r="F48" s="6">
        <f t="shared" si="30"/>
        <v>0</v>
      </c>
      <c r="G48" s="2"/>
      <c r="H48" s="7">
        <v>265</v>
      </c>
      <c r="I48" s="2"/>
      <c r="J48" s="6">
        <f t="shared" si="31"/>
        <v>1.7251481023370874E-2</v>
      </c>
      <c r="K48" s="2"/>
      <c r="L48" s="7">
        <f t="shared" si="32"/>
        <v>-0.39999999999997726</v>
      </c>
      <c r="M48" s="2"/>
      <c r="N48" s="6">
        <f t="shared" si="33"/>
        <v>-1.5094339622640652E-3</v>
      </c>
      <c r="O48" s="11"/>
      <c r="P48" s="7">
        <v>3490.76</v>
      </c>
      <c r="Q48" s="2"/>
      <c r="R48" s="6">
        <f t="shared" si="34"/>
        <v>0</v>
      </c>
      <c r="S48" s="2"/>
      <c r="T48" s="7">
        <v>3490</v>
      </c>
      <c r="U48" s="2"/>
      <c r="V48" s="6">
        <f t="shared" si="35"/>
        <v>0.10432547155710997</v>
      </c>
      <c r="W48" s="2"/>
      <c r="X48" s="7">
        <f t="shared" si="36"/>
        <v>0.76000000000021828</v>
      </c>
      <c r="Y48" s="2"/>
      <c r="Z48" s="6">
        <f t="shared" si="37"/>
        <v>2.1776504298000524E-4</v>
      </c>
    </row>
    <row r="49" spans="1:26" s="28" customFormat="1" outlineLevel="1" collapsed="1" x14ac:dyDescent="0.25">
      <c r="A49" s="29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SUM(OSRRefD22_5x_0)</f>
        <v>0</v>
      </c>
      <c r="E49" s="1"/>
      <c r="F49" s="5">
        <f t="shared" si="30"/>
        <v>0</v>
      </c>
      <c r="G49" s="1"/>
      <c r="H49" s="1">
        <f>SUM(OSRRefH22_5x_0)</f>
        <v>0</v>
      </c>
      <c r="I49" s="1"/>
      <c r="J49" s="5">
        <f t="shared" si="31"/>
        <v>0</v>
      </c>
      <c r="K49" s="1"/>
      <c r="L49" s="1">
        <f t="shared" si="32"/>
        <v>0</v>
      </c>
      <c r="M49" s="1"/>
      <c r="N49" s="5">
        <f t="shared" si="33"/>
        <v>0</v>
      </c>
      <c r="O49" s="14"/>
      <c r="P49" s="1">
        <f>SUM(OSRRefP22_5x_0)</f>
        <v>769.55</v>
      </c>
      <c r="Q49" s="1"/>
      <c r="R49" s="5">
        <f t="shared" si="34"/>
        <v>0</v>
      </c>
      <c r="S49" s="1"/>
      <c r="T49" s="1">
        <f>SUM(OSRRefT22_5x_0)</f>
        <v>300</v>
      </c>
      <c r="U49" s="1"/>
      <c r="V49" s="5">
        <f t="shared" si="35"/>
        <v>8.9678055779750694E-3</v>
      </c>
      <c r="W49" s="1"/>
      <c r="X49" s="1">
        <f t="shared" si="36"/>
        <v>469.54999999999995</v>
      </c>
      <c r="Y49" s="1"/>
      <c r="Z49" s="5">
        <f t="shared" si="37"/>
        <v>1.5651666666666666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30"/>
        <v>0</v>
      </c>
      <c r="G50" s="2"/>
      <c r="H50" s="7"/>
      <c r="I50" s="2"/>
      <c r="J50" s="6">
        <f t="shared" si="31"/>
        <v>0</v>
      </c>
      <c r="K50" s="2"/>
      <c r="L50" s="7">
        <f t="shared" si="32"/>
        <v>0</v>
      </c>
      <c r="M50" s="2"/>
      <c r="N50" s="6">
        <f t="shared" si="33"/>
        <v>0</v>
      </c>
      <c r="O50" s="11"/>
      <c r="P50" s="7">
        <v>769.55</v>
      </c>
      <c r="Q50" s="2"/>
      <c r="R50" s="6">
        <f t="shared" si="34"/>
        <v>0</v>
      </c>
      <c r="S50" s="2"/>
      <c r="T50" s="7">
        <v>300</v>
      </c>
      <c r="U50" s="2"/>
      <c r="V50" s="6">
        <f t="shared" si="35"/>
        <v>8.9678055779750694E-3</v>
      </c>
      <c r="W50" s="2"/>
      <c r="X50" s="7">
        <f t="shared" si="36"/>
        <v>469.54999999999995</v>
      </c>
      <c r="Y50" s="2"/>
      <c r="Z50" s="6">
        <f t="shared" si="37"/>
        <v>1.5651666666666666</v>
      </c>
    </row>
    <row r="51" spans="1:26" s="28" customFormat="1" outlineLevel="1" collapsed="1" x14ac:dyDescent="0.25">
      <c r="A51" s="29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SUM(OSRRefD22_6x_0)</f>
        <v>0</v>
      </c>
      <c r="E51" s="1"/>
      <c r="F51" s="5">
        <f t="shared" si="30"/>
        <v>0</v>
      </c>
      <c r="G51" s="1"/>
      <c r="H51" s="1">
        <f>SUM(OSRRefH22_6x_0)</f>
        <v>265</v>
      </c>
      <c r="I51" s="1"/>
      <c r="J51" s="5">
        <f t="shared" si="31"/>
        <v>1.7251481023370874E-2</v>
      </c>
      <c r="K51" s="1"/>
      <c r="L51" s="1">
        <f t="shared" si="32"/>
        <v>-265</v>
      </c>
      <c r="M51" s="1"/>
      <c r="N51" s="5">
        <f t="shared" si="33"/>
        <v>-1</v>
      </c>
      <c r="O51" s="14"/>
      <c r="P51" s="1">
        <f>SUM(OSRRefP22_6x_0)</f>
        <v>47.9</v>
      </c>
      <c r="Q51" s="1"/>
      <c r="R51" s="5">
        <f t="shared" si="34"/>
        <v>0</v>
      </c>
      <c r="S51" s="1"/>
      <c r="T51" s="1">
        <f>SUM(OSRRefT22_6x_0)</f>
        <v>898</v>
      </c>
      <c r="U51" s="1"/>
      <c r="V51" s="5">
        <f t="shared" si="35"/>
        <v>2.6843631363405375E-2</v>
      </c>
      <c r="W51" s="1"/>
      <c r="X51" s="1">
        <f t="shared" si="36"/>
        <v>-850.1</v>
      </c>
      <c r="Y51" s="1"/>
      <c r="Z51" s="5">
        <f t="shared" si="37"/>
        <v>-0.94665924276169267</v>
      </c>
    </row>
    <row r="52" spans="1:26" s="24" customFormat="1" hidden="1" outlineLevel="2" x14ac:dyDescent="0.25">
      <c r="A52" s="27"/>
      <c r="B52" s="11" t="str">
        <f>CONCATENATE("          ", "6373", " - ", "MAINTENANCE CONTRACTS")</f>
        <v xml:space="preserve">          6373 - MAINTENANCE CONTRACTS</v>
      </c>
      <c r="C52" s="11"/>
      <c r="D52" s="7"/>
      <c r="E52" s="2"/>
      <c r="F52" s="6">
        <f t="shared" si="30"/>
        <v>0</v>
      </c>
      <c r="G52" s="2"/>
      <c r="H52" s="7">
        <v>150</v>
      </c>
      <c r="I52" s="2"/>
      <c r="J52" s="6">
        <f t="shared" si="31"/>
        <v>9.7649892585118161E-3</v>
      </c>
      <c r="K52" s="2"/>
      <c r="L52" s="7">
        <f t="shared" si="32"/>
        <v>-150</v>
      </c>
      <c r="M52" s="2"/>
      <c r="N52" s="6">
        <f t="shared" si="33"/>
        <v>-1</v>
      </c>
      <c r="O52" s="11"/>
      <c r="P52" s="7">
        <v>47.9</v>
      </c>
      <c r="Q52" s="2"/>
      <c r="R52" s="6">
        <f t="shared" si="34"/>
        <v>0</v>
      </c>
      <c r="S52" s="2"/>
      <c r="T52" s="7">
        <v>438</v>
      </c>
      <c r="U52" s="2"/>
      <c r="V52" s="6">
        <f t="shared" si="35"/>
        <v>1.3092996143843601E-2</v>
      </c>
      <c r="W52" s="2"/>
      <c r="X52" s="7">
        <f t="shared" si="36"/>
        <v>-390.1</v>
      </c>
      <c r="Y52" s="2"/>
      <c r="Z52" s="6">
        <f t="shared" si="37"/>
        <v>-0.89063926940639271</v>
      </c>
    </row>
    <row r="53" spans="1:26" s="24" customFormat="1" hidden="1" outlineLevel="2" x14ac:dyDescent="0.25">
      <c r="A53" s="27"/>
      <c r="B53" s="11" t="str">
        <f>CONCATENATE("          ", "6375", " - ", "OUTSIDE REPAIRS &amp; MAINTENANCE")</f>
        <v xml:space="preserve">          6375 - OUTSIDE REPAIRS &amp; MAINTENANCE</v>
      </c>
      <c r="C53" s="11"/>
      <c r="D53" s="7"/>
      <c r="E53" s="2"/>
      <c r="F53" s="6">
        <f t="shared" si="30"/>
        <v>0</v>
      </c>
      <c r="G53" s="2"/>
      <c r="H53" s="7">
        <v>115</v>
      </c>
      <c r="I53" s="2"/>
      <c r="J53" s="6">
        <f t="shared" si="31"/>
        <v>7.4864917648590585E-3</v>
      </c>
      <c r="K53" s="2"/>
      <c r="L53" s="7">
        <f t="shared" si="32"/>
        <v>-115</v>
      </c>
      <c r="M53" s="2"/>
      <c r="N53" s="6">
        <f t="shared" si="33"/>
        <v>-1</v>
      </c>
      <c r="O53" s="11"/>
      <c r="P53" s="7"/>
      <c r="Q53" s="2"/>
      <c r="R53" s="6">
        <f t="shared" si="34"/>
        <v>0</v>
      </c>
      <c r="S53" s="2"/>
      <c r="T53" s="7">
        <v>460</v>
      </c>
      <c r="U53" s="2"/>
      <c r="V53" s="6">
        <f t="shared" si="35"/>
        <v>1.3750635219561774E-2</v>
      </c>
      <c r="W53" s="2"/>
      <c r="X53" s="7">
        <f t="shared" si="36"/>
        <v>-460</v>
      </c>
      <c r="Y53" s="2"/>
      <c r="Z53" s="6">
        <f t="shared" si="37"/>
        <v>-1</v>
      </c>
    </row>
    <row r="54" spans="1:26" s="28" customFormat="1" outlineLevel="1" collapsed="1" x14ac:dyDescent="0.25">
      <c r="A54" s="29"/>
      <c r="B54" s="14" t="str">
        <f>CONCATENATE("     ","Royalty &amp; Commissions                             ")</f>
        <v xml:space="preserve">     Royalty &amp; Commissions                             </v>
      </c>
      <c r="C54" s="14"/>
      <c r="D54" s="1">
        <f>SUM(OSRRefD22_7x_0)</f>
        <v>0</v>
      </c>
      <c r="E54" s="1"/>
      <c r="F54" s="5">
        <f t="shared" ref="F54:F58" si="38">IF(D$12=0,0,D54/D$12)</f>
        <v>0</v>
      </c>
      <c r="G54" s="1"/>
      <c r="H54" s="1">
        <f>SUM(OSRRefH22_7x_0)</f>
        <v>1382</v>
      </c>
      <c r="I54" s="1"/>
      <c r="J54" s="5">
        <f t="shared" ref="J54:J58" si="39">IF(H$12=0,0,H54/H$12)</f>
        <v>8.9968101035088857E-2</v>
      </c>
      <c r="K54" s="1"/>
      <c r="L54" s="1">
        <f t="shared" ref="L54:L58" si="40">+D54-H54</f>
        <v>-1382</v>
      </c>
      <c r="M54" s="1"/>
      <c r="N54" s="5">
        <f t="shared" ref="N54:N58" si="41">IF(H54=0,0,L54/H54)</f>
        <v>-1</v>
      </c>
      <c r="O54" s="14"/>
      <c r="P54" s="1">
        <f>SUM(OSRRefP22_7x_0)</f>
        <v>0</v>
      </c>
      <c r="Q54" s="1"/>
      <c r="R54" s="5">
        <f t="shared" ref="R54:R58" si="42">IF(P$12=0,0,P54/P$12)</f>
        <v>0</v>
      </c>
      <c r="S54" s="1"/>
      <c r="T54" s="1">
        <f>SUM(OSRRefT22_7x_0)</f>
        <v>3011</v>
      </c>
      <c r="U54" s="1"/>
      <c r="V54" s="5">
        <f t="shared" ref="V54:V58" si="43">IF(T$12=0,0,T54/T$12)</f>
        <v>9.0006875317609786E-2</v>
      </c>
      <c r="W54" s="1"/>
      <c r="X54" s="1">
        <f t="shared" ref="X54:X58" si="44">+P54-T54</f>
        <v>-3011</v>
      </c>
      <c r="Y54" s="1"/>
      <c r="Z54" s="5">
        <f t="shared" ref="Z54:Z58" si="45">IF(T54=0,0,X54/T54)</f>
        <v>-1</v>
      </c>
    </row>
    <row r="55" spans="1:26" s="24" customFormat="1" hidden="1" outlineLevel="2" x14ac:dyDescent="0.25">
      <c r="A55" s="27"/>
      <c r="B55" s="11" t="str">
        <f>CONCATENATE("          ", "6259", " - ", "ROYALTY &amp; COMMISSIONS")</f>
        <v xml:space="preserve">          6259 - ROYALTY &amp; COMMISSIONS</v>
      </c>
      <c r="C55" s="11"/>
      <c r="D55" s="7"/>
      <c r="E55" s="2"/>
      <c r="F55" s="6">
        <f t="shared" si="38"/>
        <v>0</v>
      </c>
      <c r="G55" s="2"/>
      <c r="H55" s="7">
        <v>1382</v>
      </c>
      <c r="I55" s="2"/>
      <c r="J55" s="6">
        <f t="shared" si="39"/>
        <v>8.9968101035088857E-2</v>
      </c>
      <c r="K55" s="2"/>
      <c r="L55" s="7">
        <f t="shared" si="40"/>
        <v>-1382</v>
      </c>
      <c r="M55" s="2"/>
      <c r="N55" s="6">
        <f t="shared" si="41"/>
        <v>-1</v>
      </c>
      <c r="O55" s="11"/>
      <c r="P55" s="7"/>
      <c r="Q55" s="2"/>
      <c r="R55" s="6">
        <f t="shared" si="42"/>
        <v>0</v>
      </c>
      <c r="S55" s="2"/>
      <c r="T55" s="7">
        <v>3011</v>
      </c>
      <c r="U55" s="2"/>
      <c r="V55" s="6">
        <f t="shared" si="43"/>
        <v>9.0006875317609786E-2</v>
      </c>
      <c r="W55" s="2"/>
      <c r="X55" s="7">
        <f t="shared" si="44"/>
        <v>-3011</v>
      </c>
      <c r="Y55" s="2"/>
      <c r="Z55" s="6">
        <f t="shared" si="45"/>
        <v>-1</v>
      </c>
    </row>
    <row r="56" spans="1:26" s="28" customFormat="1" outlineLevel="1" collapsed="1" x14ac:dyDescent="0.25">
      <c r="A56" s="29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SUM(OSRRefD22_8x_0)</f>
        <v>0</v>
      </c>
      <c r="E56" s="1"/>
      <c r="F56" s="5">
        <f t="shared" si="38"/>
        <v>0</v>
      </c>
      <c r="G56" s="1"/>
      <c r="H56" s="1">
        <f>SUM(OSRRefH22_8x_0)</f>
        <v>100</v>
      </c>
      <c r="I56" s="1"/>
      <c r="J56" s="5">
        <f t="shared" si="39"/>
        <v>6.5099928390078771E-3</v>
      </c>
      <c r="K56" s="1"/>
      <c r="L56" s="1">
        <f t="shared" si="40"/>
        <v>-100</v>
      </c>
      <c r="M56" s="1"/>
      <c r="N56" s="5">
        <f t="shared" si="41"/>
        <v>-1</v>
      </c>
      <c r="O56" s="14"/>
      <c r="P56" s="1">
        <f>SUM(OSRRefP22_8x_0)</f>
        <v>103.2</v>
      </c>
      <c r="Q56" s="1"/>
      <c r="R56" s="5">
        <f t="shared" si="42"/>
        <v>0</v>
      </c>
      <c r="S56" s="1"/>
      <c r="T56" s="1">
        <f>SUM(OSRRefT22_8x_0)</f>
        <v>300</v>
      </c>
      <c r="U56" s="1"/>
      <c r="V56" s="5">
        <f t="shared" si="43"/>
        <v>8.9678055779750694E-3</v>
      </c>
      <c r="W56" s="1"/>
      <c r="X56" s="1">
        <f t="shared" si="44"/>
        <v>-196.8</v>
      </c>
      <c r="Y56" s="1"/>
      <c r="Z56" s="5">
        <f t="shared" si="45"/>
        <v>-0.65600000000000003</v>
      </c>
    </row>
    <row r="57" spans="1:26" s="24" customFormat="1" hidden="1" outlineLevel="2" x14ac:dyDescent="0.25">
      <c r="A57" s="27"/>
      <c r="B57" s="11" t="str">
        <f>CONCATENATE("          ", "6282", " - ", "JANITORIAL/EXTERMINATOR EXPENS")</f>
        <v xml:space="preserve">          6282 - JANITORIAL/EXTERMINATOR EXPENS</v>
      </c>
      <c r="C57" s="11"/>
      <c r="D57" s="7"/>
      <c r="E57" s="2"/>
      <c r="F57" s="6">
        <f t="shared" si="38"/>
        <v>0</v>
      </c>
      <c r="G57" s="2"/>
      <c r="H57" s="7">
        <v>100</v>
      </c>
      <c r="I57" s="2"/>
      <c r="J57" s="6">
        <f t="shared" si="39"/>
        <v>6.5099928390078771E-3</v>
      </c>
      <c r="K57" s="2"/>
      <c r="L57" s="7">
        <f t="shared" si="40"/>
        <v>-100</v>
      </c>
      <c r="M57" s="2"/>
      <c r="N57" s="6">
        <f t="shared" si="41"/>
        <v>-1</v>
      </c>
      <c r="O57" s="11"/>
      <c r="P57" s="7"/>
      <c r="Q57" s="2"/>
      <c r="R57" s="6">
        <f t="shared" si="42"/>
        <v>0</v>
      </c>
      <c r="S57" s="2"/>
      <c r="T57" s="7">
        <v>300</v>
      </c>
      <c r="U57" s="2"/>
      <c r="V57" s="6">
        <f t="shared" si="43"/>
        <v>8.9678055779750694E-3</v>
      </c>
      <c r="W57" s="2"/>
      <c r="X57" s="7">
        <f t="shared" si="44"/>
        <v>-300</v>
      </c>
      <c r="Y57" s="2"/>
      <c r="Z57" s="6">
        <f t="shared" si="45"/>
        <v>-1</v>
      </c>
    </row>
    <row r="58" spans="1:26" s="24" customFormat="1" hidden="1" outlineLevel="2" x14ac:dyDescent="0.25">
      <c r="A58" s="27"/>
      <c r="B58" s="11" t="str">
        <f>CONCATENATE("          ", "6285", " - ", "JANITORIAL SERVICES")</f>
        <v xml:space="preserve">          6285 - JANITORIAL SERVICES</v>
      </c>
      <c r="C58" s="11"/>
      <c r="D58" s="7"/>
      <c r="E58" s="2"/>
      <c r="F58" s="6">
        <f t="shared" si="38"/>
        <v>0</v>
      </c>
      <c r="G58" s="2"/>
      <c r="H58" s="7"/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>
        <v>103.2</v>
      </c>
      <c r="Q58" s="2"/>
      <c r="R58" s="6">
        <f t="shared" si="42"/>
        <v>0</v>
      </c>
      <c r="S58" s="2"/>
      <c r="T58" s="7"/>
      <c r="U58" s="2"/>
      <c r="V58" s="6">
        <f t="shared" si="43"/>
        <v>0</v>
      </c>
      <c r="W58" s="2"/>
      <c r="X58" s="7">
        <f t="shared" si="44"/>
        <v>103.2</v>
      </c>
      <c r="Y58" s="2"/>
      <c r="Z58" s="6">
        <f t="shared" si="45"/>
        <v>0</v>
      </c>
    </row>
    <row r="59" spans="1:26" s="28" customFormat="1" outlineLevel="1" collapsed="1" x14ac:dyDescent="0.25">
      <c r="A59" s="29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SUM(OSRRefD22_9x_0)</f>
        <v>1194.8900000000001</v>
      </c>
      <c r="E59" s="1"/>
      <c r="F59" s="5">
        <f t="shared" ref="F59:F63" si="46">IF(D$12=0,0,D59/D$12)</f>
        <v>0</v>
      </c>
      <c r="G59" s="1"/>
      <c r="H59" s="1">
        <f>SUM(OSRRefH22_9x_0)</f>
        <v>1500</v>
      </c>
      <c r="I59" s="1"/>
      <c r="J59" s="5">
        <f t="shared" ref="J59:J63" si="47">IF(H$12=0,0,H59/H$12)</f>
        <v>9.764989258511815E-2</v>
      </c>
      <c r="K59" s="1"/>
      <c r="L59" s="1">
        <f t="shared" ref="L59:L63" si="48">+D59-H59</f>
        <v>-305.1099999999999</v>
      </c>
      <c r="M59" s="1"/>
      <c r="N59" s="5">
        <f t="shared" ref="N59:N63" si="49">IF(H59=0,0,L59/H59)</f>
        <v>-0.2034066666666666</v>
      </c>
      <c r="O59" s="14"/>
      <c r="P59" s="1">
        <f>SUM(OSRRefP22_9x_0)</f>
        <v>1237.73</v>
      </c>
      <c r="Q59" s="1"/>
      <c r="R59" s="5">
        <f t="shared" ref="R59:R63" si="50">IF(P$12=0,0,P59/P$12)</f>
        <v>0</v>
      </c>
      <c r="S59" s="1"/>
      <c r="T59" s="1">
        <f>SUM(OSRRefT22_9x_0)</f>
        <v>3500</v>
      </c>
      <c r="U59" s="1"/>
      <c r="V59" s="5">
        <f t="shared" ref="V59:V63" si="51">IF(T$12=0,0,T59/T$12)</f>
        <v>0.10462439840970915</v>
      </c>
      <c r="W59" s="1"/>
      <c r="X59" s="1">
        <f t="shared" ref="X59:X63" si="52">+P59-T59</f>
        <v>-2262.27</v>
      </c>
      <c r="Y59" s="1"/>
      <c r="Z59" s="5">
        <f t="shared" ref="Z59:Z63" si="53">IF(T59=0,0,X59/T59)</f>
        <v>-0.64636285714285713</v>
      </c>
    </row>
    <row r="60" spans="1:26" s="24" customFormat="1" hidden="1" outlineLevel="2" x14ac:dyDescent="0.25">
      <c r="A60" s="27"/>
      <c r="B60" s="11" t="str">
        <f>CONCATENATE("          ", "6234", " - ", "EXPENDABLE SUPPLIES &amp; EQUIPMEN")</f>
        <v xml:space="preserve">          6234 - EXPENDABLE SUPPLIES &amp; EQUIPMEN</v>
      </c>
      <c r="C60" s="11"/>
      <c r="D60" s="7">
        <v>1194.8900000000001</v>
      </c>
      <c r="E60" s="2"/>
      <c r="F60" s="6">
        <f t="shared" si="46"/>
        <v>0</v>
      </c>
      <c r="G60" s="2"/>
      <c r="H60" s="7"/>
      <c r="I60" s="2"/>
      <c r="J60" s="6">
        <f t="shared" si="47"/>
        <v>0</v>
      </c>
      <c r="K60" s="2"/>
      <c r="L60" s="7">
        <f t="shared" si="48"/>
        <v>1194.8900000000001</v>
      </c>
      <c r="M60" s="2"/>
      <c r="N60" s="6">
        <f t="shared" si="49"/>
        <v>0</v>
      </c>
      <c r="O60" s="11"/>
      <c r="P60" s="7">
        <v>1194.8900000000001</v>
      </c>
      <c r="Q60" s="2"/>
      <c r="R60" s="6">
        <f t="shared" si="50"/>
        <v>0</v>
      </c>
      <c r="S60" s="2"/>
      <c r="T60" s="7"/>
      <c r="U60" s="2"/>
      <c r="V60" s="6">
        <f t="shared" si="51"/>
        <v>0</v>
      </c>
      <c r="W60" s="2"/>
      <c r="X60" s="7">
        <f t="shared" si="52"/>
        <v>1194.8900000000001</v>
      </c>
      <c r="Y60" s="2"/>
      <c r="Z60" s="6">
        <f t="shared" si="53"/>
        <v>0</v>
      </c>
    </row>
    <row r="61" spans="1:26" s="24" customFormat="1" hidden="1" outlineLevel="2" x14ac:dyDescent="0.25">
      <c r="A61" s="27"/>
      <c r="B61" s="11" t="str">
        <f>CONCATENATE("          ", "6237", " - ", "JANITORIAL SUPPLIES")</f>
        <v xml:space="preserve">          6237 - JANITORIAL SUPPLIES</v>
      </c>
      <c r="C61" s="11"/>
      <c r="D61" s="7"/>
      <c r="E61" s="2"/>
      <c r="F61" s="6">
        <f t="shared" si="46"/>
        <v>0</v>
      </c>
      <c r="G61" s="2"/>
      <c r="H61" s="7"/>
      <c r="I61" s="2"/>
      <c r="J61" s="6">
        <f t="shared" si="47"/>
        <v>0</v>
      </c>
      <c r="K61" s="2"/>
      <c r="L61" s="7">
        <f t="shared" si="48"/>
        <v>0</v>
      </c>
      <c r="M61" s="2"/>
      <c r="N61" s="6">
        <f t="shared" si="49"/>
        <v>0</v>
      </c>
      <c r="O61" s="11"/>
      <c r="P61" s="7">
        <v>38.340000000000003</v>
      </c>
      <c r="Q61" s="2"/>
      <c r="R61" s="6">
        <f t="shared" si="50"/>
        <v>0</v>
      </c>
      <c r="S61" s="2"/>
      <c r="T61" s="7"/>
      <c r="U61" s="2"/>
      <c r="V61" s="6">
        <f t="shared" si="51"/>
        <v>0</v>
      </c>
      <c r="W61" s="2"/>
      <c r="X61" s="7">
        <f t="shared" si="52"/>
        <v>38.340000000000003</v>
      </c>
      <c r="Y61" s="2"/>
      <c r="Z61" s="6">
        <f t="shared" si="53"/>
        <v>0</v>
      </c>
    </row>
    <row r="62" spans="1:26" s="24" customFormat="1" hidden="1" outlineLevel="2" x14ac:dyDescent="0.25">
      <c r="A62" s="27"/>
      <c r="B62" s="11" t="str">
        <f>CONCATENATE("          ", "6241", " - ", "OFFICE EXPENSE")</f>
        <v xml:space="preserve">          6241 - OFFICE EXPENSE</v>
      </c>
      <c r="C62" s="11"/>
      <c r="D62" s="7"/>
      <c r="E62" s="2"/>
      <c r="F62" s="6">
        <f t="shared" si="46"/>
        <v>0</v>
      </c>
      <c r="G62" s="2"/>
      <c r="H62" s="7"/>
      <c r="I62" s="2"/>
      <c r="J62" s="6">
        <f t="shared" si="47"/>
        <v>0</v>
      </c>
      <c r="K62" s="2"/>
      <c r="L62" s="7">
        <f t="shared" si="48"/>
        <v>0</v>
      </c>
      <c r="M62" s="2"/>
      <c r="N62" s="6">
        <f t="shared" si="49"/>
        <v>0</v>
      </c>
      <c r="O62" s="11"/>
      <c r="P62" s="7">
        <v>4.5</v>
      </c>
      <c r="Q62" s="2"/>
      <c r="R62" s="6">
        <f t="shared" si="50"/>
        <v>0</v>
      </c>
      <c r="S62" s="2"/>
      <c r="T62" s="7"/>
      <c r="U62" s="2"/>
      <c r="V62" s="6">
        <f t="shared" si="51"/>
        <v>0</v>
      </c>
      <c r="W62" s="2"/>
      <c r="X62" s="7">
        <f t="shared" si="52"/>
        <v>4.5</v>
      </c>
      <c r="Y62" s="2"/>
      <c r="Z62" s="6">
        <f t="shared" si="53"/>
        <v>0</v>
      </c>
    </row>
    <row r="63" spans="1:26" s="24" customFormat="1" hidden="1" outlineLevel="2" x14ac:dyDescent="0.25">
      <c r="A63" s="27"/>
      <c r="B63" s="11" t="str">
        <f>CONCATENATE("          ", "6247", " - ", "STORE SUPPLIES")</f>
        <v xml:space="preserve">          6247 - STORE SUPPLIES</v>
      </c>
      <c r="C63" s="11"/>
      <c r="D63" s="7"/>
      <c r="E63" s="2"/>
      <c r="F63" s="6">
        <f t="shared" si="46"/>
        <v>0</v>
      </c>
      <c r="G63" s="2"/>
      <c r="H63" s="7">
        <v>1500</v>
      </c>
      <c r="I63" s="2"/>
      <c r="J63" s="6">
        <f t="shared" si="47"/>
        <v>9.764989258511815E-2</v>
      </c>
      <c r="K63" s="2"/>
      <c r="L63" s="7">
        <f t="shared" si="48"/>
        <v>-1500</v>
      </c>
      <c r="M63" s="2"/>
      <c r="N63" s="6">
        <f t="shared" si="49"/>
        <v>-1</v>
      </c>
      <c r="O63" s="11"/>
      <c r="P63" s="7"/>
      <c r="Q63" s="2"/>
      <c r="R63" s="6">
        <f t="shared" si="50"/>
        <v>0</v>
      </c>
      <c r="S63" s="2"/>
      <c r="T63" s="7">
        <v>3500</v>
      </c>
      <c r="U63" s="2"/>
      <c r="V63" s="6">
        <f t="shared" si="51"/>
        <v>0.10462439840970915</v>
      </c>
      <c r="W63" s="2"/>
      <c r="X63" s="7">
        <f t="shared" si="52"/>
        <v>-3500</v>
      </c>
      <c r="Y63" s="2"/>
      <c r="Z63" s="6">
        <f t="shared" si="53"/>
        <v>-1</v>
      </c>
    </row>
    <row r="64" spans="1:26" s="28" customFormat="1" outlineLevel="1" collapsed="1" x14ac:dyDescent="0.25">
      <c r="A64" s="29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SUM(OSRRefD22_10x_0)</f>
        <v>51.5</v>
      </c>
      <c r="E64" s="1"/>
      <c r="F64" s="5">
        <f t="shared" ref="F64:F67" si="54">IF(D$12=0,0,D64/D$12)</f>
        <v>0</v>
      </c>
      <c r="G64" s="1"/>
      <c r="H64" s="1">
        <f>SUM(OSRRefH22_10x_0)</f>
        <v>53</v>
      </c>
      <c r="I64" s="1"/>
      <c r="J64" s="5">
        <f t="shared" ref="J64:J67" si="55">IF(H$12=0,0,H64/H$12)</f>
        <v>3.450296204674175E-3</v>
      </c>
      <c r="K64" s="1"/>
      <c r="L64" s="1">
        <f t="shared" ref="L64:L67" si="56">+D64-H64</f>
        <v>-1.5</v>
      </c>
      <c r="M64" s="1"/>
      <c r="N64" s="5">
        <f t="shared" ref="N64:N67" si="57">IF(H64=0,0,L64/H64)</f>
        <v>-2.8301886792452831E-2</v>
      </c>
      <c r="O64" s="14"/>
      <c r="P64" s="1">
        <f>SUM(OSRRefP22_10x_0)</f>
        <v>184</v>
      </c>
      <c r="Q64" s="1"/>
      <c r="R64" s="5">
        <f t="shared" ref="R64:R67" si="58">IF(P$12=0,0,P64/P$12)</f>
        <v>0</v>
      </c>
      <c r="S64" s="1"/>
      <c r="T64" s="1">
        <f>SUM(OSRRefT22_10x_0)</f>
        <v>212</v>
      </c>
      <c r="U64" s="1"/>
      <c r="V64" s="5">
        <f t="shared" ref="V64:V67" si="59">IF(T$12=0,0,T64/T$12)</f>
        <v>6.3372492751023824E-3</v>
      </c>
      <c r="W64" s="1"/>
      <c r="X64" s="1">
        <f t="shared" ref="X64:X67" si="60">+P64-T64</f>
        <v>-28</v>
      </c>
      <c r="Y64" s="1"/>
      <c r="Z64" s="5">
        <f t="shared" ref="Z64:Z67" si="61">IF(T64=0,0,X64/T64)</f>
        <v>-0.13207547169811321</v>
      </c>
    </row>
    <row r="65" spans="1:26" s="24" customFormat="1" hidden="1" outlineLevel="2" x14ac:dyDescent="0.25">
      <c r="A65" s="27"/>
      <c r="B65" s="11" t="str">
        <f>CONCATENATE("          ", "6309", " - ", "TELEPHONE")</f>
        <v xml:space="preserve">          6309 - TELEPHONE</v>
      </c>
      <c r="C65" s="11"/>
      <c r="D65" s="7">
        <v>51.5</v>
      </c>
      <c r="E65" s="2"/>
      <c r="F65" s="6">
        <f t="shared" si="54"/>
        <v>0</v>
      </c>
      <c r="G65" s="2"/>
      <c r="H65" s="7">
        <v>53</v>
      </c>
      <c r="I65" s="2"/>
      <c r="J65" s="6">
        <f t="shared" si="55"/>
        <v>3.450296204674175E-3</v>
      </c>
      <c r="K65" s="2"/>
      <c r="L65" s="7">
        <f t="shared" si="56"/>
        <v>-1.5</v>
      </c>
      <c r="M65" s="2"/>
      <c r="N65" s="6">
        <f t="shared" si="57"/>
        <v>-2.8301886792452831E-2</v>
      </c>
      <c r="O65" s="11"/>
      <c r="P65" s="7">
        <v>184</v>
      </c>
      <c r="Q65" s="2"/>
      <c r="R65" s="6">
        <f t="shared" si="58"/>
        <v>0</v>
      </c>
      <c r="S65" s="2"/>
      <c r="T65" s="7">
        <v>212</v>
      </c>
      <c r="U65" s="2"/>
      <c r="V65" s="6">
        <f t="shared" si="59"/>
        <v>6.3372492751023824E-3</v>
      </c>
      <c r="W65" s="2"/>
      <c r="X65" s="7">
        <f t="shared" si="60"/>
        <v>-28</v>
      </c>
      <c r="Y65" s="2"/>
      <c r="Z65" s="6">
        <f t="shared" si="61"/>
        <v>-0.13207547169811321</v>
      </c>
    </row>
    <row r="66" spans="1:26" s="28" customFormat="1" outlineLevel="1" collapsed="1" x14ac:dyDescent="0.25">
      <c r="A66" s="29"/>
      <c r="B66" s="14" t="str">
        <f>CONCATENATE("     ","Training                                          ")</f>
        <v xml:space="preserve">     Training                                          </v>
      </c>
      <c r="C66" s="14"/>
      <c r="D66" s="1">
        <f>SUM(OSRRefD22_11x_0)</f>
        <v>0</v>
      </c>
      <c r="E66" s="1"/>
      <c r="F66" s="5">
        <f t="shared" si="54"/>
        <v>0</v>
      </c>
      <c r="G66" s="1"/>
      <c r="H66" s="1">
        <f>SUM(OSRRefH22_11x_0)</f>
        <v>0</v>
      </c>
      <c r="I66" s="1"/>
      <c r="J66" s="5">
        <f t="shared" si="55"/>
        <v>0</v>
      </c>
      <c r="K66" s="1"/>
      <c r="L66" s="1">
        <f t="shared" si="56"/>
        <v>0</v>
      </c>
      <c r="M66" s="1"/>
      <c r="N66" s="5">
        <f t="shared" si="57"/>
        <v>0</v>
      </c>
      <c r="O66" s="14"/>
      <c r="P66" s="1">
        <f>SUM(OSRRefP22_11x_0)</f>
        <v>0</v>
      </c>
      <c r="Q66" s="1"/>
      <c r="R66" s="5">
        <f t="shared" si="58"/>
        <v>0</v>
      </c>
      <c r="S66" s="1"/>
      <c r="T66" s="1">
        <f>SUM(OSRRefT22_11x_0)</f>
        <v>75</v>
      </c>
      <c r="U66" s="1"/>
      <c r="V66" s="5">
        <f t="shared" si="59"/>
        <v>2.2419513944937674E-3</v>
      </c>
      <c r="W66" s="1"/>
      <c r="X66" s="1">
        <f t="shared" si="60"/>
        <v>-75</v>
      </c>
      <c r="Y66" s="1"/>
      <c r="Z66" s="5">
        <f t="shared" si="61"/>
        <v>-1</v>
      </c>
    </row>
    <row r="67" spans="1:26" s="24" customFormat="1" hidden="1" outlineLevel="2" x14ac:dyDescent="0.25">
      <c r="A67" s="27"/>
      <c r="B67" s="11" t="str">
        <f>CONCATENATE("          ", "6376", " - ", "TRAINING")</f>
        <v xml:space="preserve">          6376 - TRAINING</v>
      </c>
      <c r="C67" s="11"/>
      <c r="D67" s="7"/>
      <c r="E67" s="2"/>
      <c r="F67" s="6">
        <f t="shared" si="54"/>
        <v>0</v>
      </c>
      <c r="G67" s="2"/>
      <c r="H67" s="7"/>
      <c r="I67" s="2"/>
      <c r="J67" s="6">
        <f t="shared" si="55"/>
        <v>0</v>
      </c>
      <c r="K67" s="2"/>
      <c r="L67" s="7">
        <f t="shared" si="56"/>
        <v>0</v>
      </c>
      <c r="M67" s="2"/>
      <c r="N67" s="6">
        <f t="shared" si="57"/>
        <v>0</v>
      </c>
      <c r="O67" s="11"/>
      <c r="P67" s="7"/>
      <c r="Q67" s="2"/>
      <c r="R67" s="6">
        <f t="shared" si="58"/>
        <v>0</v>
      </c>
      <c r="S67" s="2"/>
      <c r="T67" s="7">
        <v>75</v>
      </c>
      <c r="U67" s="2"/>
      <c r="V67" s="6">
        <f t="shared" si="59"/>
        <v>2.2419513944937674E-3</v>
      </c>
      <c r="W67" s="2"/>
      <c r="X67" s="7">
        <f t="shared" si="60"/>
        <v>-75</v>
      </c>
      <c r="Y67" s="2"/>
      <c r="Z67" s="6">
        <f t="shared" si="61"/>
        <v>-1</v>
      </c>
    </row>
    <row r="68" spans="1:26" s="60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5" t="s">
        <v>293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6" t="s">
        <v>277</v>
      </c>
      <c r="C71" s="26"/>
      <c r="D71" s="21">
        <f>+D19-D21+D69</f>
        <v>-1610.94</v>
      </c>
      <c r="E71" s="13"/>
      <c r="F71" s="20">
        <f>IF(D$12=0,0,D71/D$12)</f>
        <v>0</v>
      </c>
      <c r="G71" s="13"/>
      <c r="H71" s="21">
        <f>+H19-H21+H69</f>
        <v>-3100.6421250000003</v>
      </c>
      <c r="I71" s="13"/>
      <c r="J71" s="20">
        <f>IF(H$12=0,0,H71/H$12)</f>
        <v>-0.2018515803007617</v>
      </c>
      <c r="K71" s="15"/>
      <c r="L71" s="21">
        <f>+D71-H71</f>
        <v>1489.7021250000003</v>
      </c>
      <c r="M71" s="15"/>
      <c r="N71" s="20">
        <f>IF(H71=0,0,L71/H71)</f>
        <v>-0.48044955365495468</v>
      </c>
      <c r="O71" s="25"/>
      <c r="P71" s="21">
        <f>+P19-P21+P69</f>
        <v>-6383.79</v>
      </c>
      <c r="Q71" s="13"/>
      <c r="R71" s="20">
        <f>IF(P$12=0,0,P71/P$12)</f>
        <v>0</v>
      </c>
      <c r="S71" s="13"/>
      <c r="T71" s="21">
        <f>+T19-T21+T69</f>
        <v>-13069.859349999999</v>
      </c>
      <c r="U71" s="13"/>
      <c r="V71" s="20">
        <f>IF(T$12=0,0,T71/T$12)</f>
        <v>-0.39069319194093199</v>
      </c>
      <c r="W71" s="15"/>
      <c r="X71" s="21">
        <f>+P71-T71</f>
        <v>6686.0693499999988</v>
      </c>
      <c r="Y71" s="15"/>
      <c r="Z71" s="20">
        <f>IF(T71=0,0,X71/T71)</f>
        <v>-0.51156398634083233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128</v>
      </c>
      <c r="C73" s="10"/>
      <c r="D73" s="4"/>
      <c r="E73" s="4"/>
      <c r="F73" s="12">
        <f>IF(D$12=0,0,D73/D$12)</f>
        <v>0</v>
      </c>
      <c r="G73" s="4"/>
      <c r="H73" s="4">
        <v>1882</v>
      </c>
      <c r="I73" s="4"/>
      <c r="J73" s="12">
        <f>IF(H$12=0,0,H73/H$12)</f>
        <v>0.12251806523012825</v>
      </c>
      <c r="K73" s="4"/>
      <c r="L73" s="4">
        <f>+D73-H73</f>
        <v>-1882</v>
      </c>
      <c r="M73" s="4"/>
      <c r="N73" s="12">
        <f>IF(H73=0,0,L73/H73)</f>
        <v>-1</v>
      </c>
      <c r="O73" s="10"/>
      <c r="P73" s="4"/>
      <c r="Q73" s="4"/>
      <c r="R73" s="12">
        <f>IF(P$12=0,0,P73/P$12)</f>
        <v>0</v>
      </c>
      <c r="S73" s="4"/>
      <c r="T73" s="4">
        <v>3846</v>
      </c>
      <c r="U73" s="4"/>
      <c r="V73" s="12">
        <f>IF(T$12=0,0,T73/T$12)</f>
        <v>0.1149672675096404</v>
      </c>
      <c r="W73" s="4"/>
      <c r="X73" s="4">
        <f>+P73-T73</f>
        <v>-3846</v>
      </c>
      <c r="Y73" s="4"/>
      <c r="Z73" s="12">
        <f>IF(T73=0,0,X73/T73)</f>
        <v>-1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126</v>
      </c>
      <c r="C75" s="26"/>
      <c r="D75" s="31">
        <f>+D71-D73</f>
        <v>-1610.94</v>
      </c>
      <c r="E75" s="13"/>
      <c r="F75" s="33">
        <f>IF(D$12=0,0,D75/D$12)</f>
        <v>0</v>
      </c>
      <c r="G75" s="13"/>
      <c r="H75" s="31">
        <f>+H71-H73</f>
        <v>-4982.6421250000003</v>
      </c>
      <c r="I75" s="13"/>
      <c r="J75" s="33">
        <f>IF(H$12=0,0,H75/H$12)</f>
        <v>-0.32436964553088993</v>
      </c>
      <c r="K75" s="15"/>
      <c r="L75" s="31">
        <f>D75-H75</f>
        <v>3371.7021250000003</v>
      </c>
      <c r="M75" s="15"/>
      <c r="N75" s="33">
        <f>IF(H75=0,0,L75/H75)</f>
        <v>-0.67668960371100306</v>
      </c>
      <c r="O75" s="25"/>
      <c r="P75" s="31">
        <f>+P71-P73</f>
        <v>-6383.79</v>
      </c>
      <c r="Q75" s="13"/>
      <c r="R75" s="33">
        <f>IF(P$12=0,0,P75/P$12)</f>
        <v>0</v>
      </c>
      <c r="S75" s="13"/>
      <c r="T75" s="31">
        <f>+T71-T73</f>
        <v>-16915.859349999999</v>
      </c>
      <c r="U75" s="13"/>
      <c r="V75" s="33">
        <f>IF(T$12=0,0,T75/T$12)</f>
        <v>-0.50566045945057236</v>
      </c>
      <c r="W75" s="15"/>
      <c r="X75" s="31">
        <f>P75-T75</f>
        <v>10532.069349999998</v>
      </c>
      <c r="Y75" s="15"/>
      <c r="Z75" s="33">
        <f>IF(T75=0,0,X75/T75)</f>
        <v>-0.62261509345075028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6" t="s">
        <v>294</v>
      </c>
      <c r="C78" s="26"/>
      <c r="D78" s="35">
        <f>SUM(D75:D77)</f>
        <v>-1610.94</v>
      </c>
      <c r="E78" s="13"/>
      <c r="F78" s="32">
        <f>IF(D$12=0,0,D78/D$12)</f>
        <v>0</v>
      </c>
      <c r="G78" s="13"/>
      <c r="H78" s="35">
        <f>SUM(H75:H77)</f>
        <v>-4982.6421250000003</v>
      </c>
      <c r="I78" s="13"/>
      <c r="J78" s="32">
        <f>IF(H$12=0,0,H78/H$12)</f>
        <v>-0.32436964553088993</v>
      </c>
      <c r="K78" s="15"/>
      <c r="L78" s="35">
        <f>+D78-H78</f>
        <v>3371.7021250000003</v>
      </c>
      <c r="M78" s="15"/>
      <c r="N78" s="32">
        <f>IF(H78=0,0,L78/H78)</f>
        <v>-0.67668960371100306</v>
      </c>
      <c r="O78" s="25"/>
      <c r="P78" s="35">
        <f>SUM(P75:P77)</f>
        <v>-6383.79</v>
      </c>
      <c r="Q78" s="13"/>
      <c r="R78" s="32">
        <f>IF(P$12=0,0,P78/P$12)</f>
        <v>0</v>
      </c>
      <c r="S78" s="13"/>
      <c r="T78" s="35">
        <f>SUM(T75:T77)</f>
        <v>-16915.859349999999</v>
      </c>
      <c r="U78" s="13"/>
      <c r="V78" s="32">
        <f>IF(T$12=0,0,T78/T$12)</f>
        <v>-0.50566045945057236</v>
      </c>
      <c r="W78" s="15"/>
      <c r="X78" s="35">
        <f>+P78-T78</f>
        <v>10532.069349999998</v>
      </c>
      <c r="Y78" s="15"/>
      <c r="Z78" s="32">
        <f>IF(T78=0,0,X78/T78)</f>
        <v>-0.62261509345075028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9">
        <v>44517.962875613426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62" t="s">
        <v>56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7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","322", " - ", "Beach Hut")</f>
        <v>Department 322 - Beach Hut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-71.86</v>
      </c>
      <c r="E18" s="22"/>
      <c r="F18" s="34">
        <f t="shared" ref="F18:F20" si="0">IF(D$12=0,0,D18/D$12)</f>
        <v>0</v>
      </c>
      <c r="G18" s="22"/>
      <c r="H18" s="22">
        <f>SUM(OSRRefH22x_0)</f>
        <v>0</v>
      </c>
      <c r="I18" s="22"/>
      <c r="J18" s="34">
        <f t="shared" ref="J18:J20" si="1">IF(H$12=0,0,H18/H$12)</f>
        <v>0</v>
      </c>
      <c r="K18" s="4"/>
      <c r="L18" s="22">
        <f t="shared" ref="L18:L20" si="2">+D18-H18</f>
        <v>-71.86</v>
      </c>
      <c r="M18" s="4"/>
      <c r="N18" s="34">
        <f t="shared" ref="N18:N20" si="3">IF(H18=0,0,L18/H18)</f>
        <v>0</v>
      </c>
      <c r="O18" s="10"/>
      <c r="P18" s="22">
        <f>SUM(OSRRefP22x_0)</f>
        <v>0</v>
      </c>
      <c r="Q18" s="22"/>
      <c r="R18" s="34">
        <f t="shared" ref="R18:R20" si="4">IF(P$12=0,0,P18/P$12)</f>
        <v>0</v>
      </c>
      <c r="S18" s="22"/>
      <c r="T18" s="22">
        <f>SUM(OSRRefT22x_0)</f>
        <v>0</v>
      </c>
      <c r="U18" s="22"/>
      <c r="V18" s="34">
        <f t="shared" ref="V18:V20" si="5">IF(T$12=0,0,T18/T$12)</f>
        <v>0</v>
      </c>
      <c r="W18" s="4"/>
      <c r="X18" s="22">
        <f t="shared" ref="X18:X20" si="6">+P18-T18</f>
        <v>0</v>
      </c>
      <c r="Y18" s="4"/>
      <c r="Z18" s="34">
        <f t="shared" ref="Z18:Z20" si="7">IF(T18=0,0,X18/T18)</f>
        <v>0</v>
      </c>
    </row>
    <row r="19" spans="1:26" s="28" customFormat="1" outlineLevel="1" collapsed="1" x14ac:dyDescent="0.25">
      <c r="A19" s="29"/>
      <c r="B19" s="14" t="str">
        <f>CONCATENATE("     ","Repair and Maintenance                            ")</f>
        <v xml:space="preserve">     Repair and Maintenance                            </v>
      </c>
      <c r="C19" s="14"/>
      <c r="D19" s="1">
        <f>SUM(OSRRefD22_0x_0)</f>
        <v>-71.86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-71.86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25">
      <c r="A20" s="27"/>
      <c r="B20" s="11" t="str">
        <f>CONCATENATE("          ", "6373", " - ", "MAINTENANCE CONTRACTS")</f>
        <v xml:space="preserve">          6373 - MAINTENANCE CONTRACTS</v>
      </c>
      <c r="C20" s="11"/>
      <c r="D20" s="7">
        <v>-71.86</v>
      </c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-71.86</v>
      </c>
      <c r="M20" s="2"/>
      <c r="N20" s="6">
        <f t="shared" si="3"/>
        <v>0</v>
      </c>
      <c r="O20" s="11"/>
      <c r="P20" s="7">
        <v>0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0</v>
      </c>
      <c r="Y20" s="2"/>
      <c r="Z20" s="6">
        <f t="shared" si="7"/>
        <v>0</v>
      </c>
    </row>
    <row r="21" spans="1:26" s="60" customFormat="1" x14ac:dyDescent="0.25">
      <c r="A21" s="36"/>
      <c r="B21" s="36"/>
      <c r="C21" s="36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293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277</v>
      </c>
      <c r="C24" s="26"/>
      <c r="D24" s="21">
        <f>+D16-D18+D22</f>
        <v>71.86</v>
      </c>
      <c r="E24" s="13"/>
      <c r="F24" s="20">
        <f>IF(D$12=0,0,D24/D$12)</f>
        <v>0</v>
      </c>
      <c r="G24" s="13"/>
      <c r="H24" s="21">
        <f>+H16-H18+H22</f>
        <v>0</v>
      </c>
      <c r="I24" s="13"/>
      <c r="J24" s="20">
        <f>IF(H$12=0,0,H24/H$12)</f>
        <v>0</v>
      </c>
      <c r="K24" s="15"/>
      <c r="L24" s="21">
        <f>+D24-H24</f>
        <v>71.86</v>
      </c>
      <c r="M24" s="15"/>
      <c r="N24" s="20">
        <f>IF(H24=0,0,L24/H24)</f>
        <v>0</v>
      </c>
      <c r="O24" s="25"/>
      <c r="P24" s="21">
        <f>+P16-P18+P22</f>
        <v>0</v>
      </c>
      <c r="Q24" s="13"/>
      <c r="R24" s="20">
        <f>IF(P$12=0,0,P24/P$12)</f>
        <v>0</v>
      </c>
      <c r="S24" s="13"/>
      <c r="T24" s="21">
        <f>+T16-T18+T22</f>
        <v>0</v>
      </c>
      <c r="U24" s="13"/>
      <c r="V24" s="20">
        <f>IF(T$12=0,0,T24/T$12)</f>
        <v>0</v>
      </c>
      <c r="W24" s="15"/>
      <c r="X24" s="21">
        <f>+P24-T24</f>
        <v>0</v>
      </c>
      <c r="Y24" s="15"/>
      <c r="Z24" s="20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128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6" t="s">
        <v>126</v>
      </c>
      <c r="C28" s="26"/>
      <c r="D28" s="31">
        <f>+D24-D26</f>
        <v>71.86</v>
      </c>
      <c r="E28" s="13"/>
      <c r="F28" s="33">
        <f>IF(D$12=0,0,D28/D$12)</f>
        <v>0</v>
      </c>
      <c r="G28" s="13"/>
      <c r="H28" s="31">
        <f>+H24-H26</f>
        <v>0</v>
      </c>
      <c r="I28" s="13"/>
      <c r="J28" s="33">
        <f>IF(H$12=0,0,H28/H$12)</f>
        <v>0</v>
      </c>
      <c r="K28" s="15"/>
      <c r="L28" s="31">
        <f>D28-H28</f>
        <v>71.86</v>
      </c>
      <c r="M28" s="15"/>
      <c r="N28" s="33">
        <f>IF(H28=0,0,L28/H28)</f>
        <v>0</v>
      </c>
      <c r="O28" s="25"/>
      <c r="P28" s="31">
        <f>+P24-P26</f>
        <v>0</v>
      </c>
      <c r="Q28" s="13"/>
      <c r="R28" s="33">
        <f>IF(P$12=0,0,P28/P$12)</f>
        <v>0</v>
      </c>
      <c r="S28" s="13"/>
      <c r="T28" s="31">
        <f>+T24-T26</f>
        <v>0</v>
      </c>
      <c r="U28" s="13"/>
      <c r="V28" s="33">
        <f>IF(T$12=0,0,T28/T$12)</f>
        <v>0</v>
      </c>
      <c r="W28" s="15"/>
      <c r="X28" s="31">
        <f>P28-T28</f>
        <v>0</v>
      </c>
      <c r="Y28" s="15"/>
      <c r="Z28" s="33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294</v>
      </c>
      <c r="C31" s="26"/>
      <c r="D31" s="35">
        <f>SUM(D28:D30)</f>
        <v>71.86</v>
      </c>
      <c r="E31" s="13"/>
      <c r="F31" s="32">
        <f>IF(D$12=0,0,D31/D$12)</f>
        <v>0</v>
      </c>
      <c r="G31" s="13"/>
      <c r="H31" s="35">
        <f>SUM(H28:H30)</f>
        <v>0</v>
      </c>
      <c r="I31" s="13"/>
      <c r="J31" s="32">
        <f>IF(H$12=0,0,H31/H$12)</f>
        <v>0</v>
      </c>
      <c r="K31" s="15"/>
      <c r="L31" s="35">
        <f>+D31-H31</f>
        <v>71.86</v>
      </c>
      <c r="M31" s="15"/>
      <c r="N31" s="32">
        <f>IF(H31=0,0,L31/H31)</f>
        <v>0</v>
      </c>
      <c r="O31" s="25"/>
      <c r="P31" s="35">
        <f>SUM(P28:P30)</f>
        <v>0</v>
      </c>
      <c r="Q31" s="13"/>
      <c r="R31" s="32">
        <f>IF(P$12=0,0,P31/P$12)</f>
        <v>0</v>
      </c>
      <c r="S31" s="13"/>
      <c r="T31" s="35">
        <f>SUM(T28:T30)</f>
        <v>0</v>
      </c>
      <c r="U31" s="13"/>
      <c r="V31" s="32">
        <f>IF(T$12=0,0,T31/T$12)</f>
        <v>0</v>
      </c>
      <c r="W31" s="15"/>
      <c r="X31" s="35">
        <f>+P31-T31</f>
        <v>0</v>
      </c>
      <c r="Y31" s="15"/>
      <c r="Z31" s="32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9">
        <v>44517.962875613426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62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7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","325", " - ", "Outpost C-Store")</f>
        <v>Department 325 - Outpost C-Store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25425.519999999997</v>
      </c>
      <c r="E12" s="4"/>
      <c r="F12" s="12"/>
      <c r="G12" s="4"/>
      <c r="H12" s="4">
        <f>SUM(OSRRefH13x_0)</f>
        <v>36343</v>
      </c>
      <c r="I12" s="4"/>
      <c r="J12" s="12"/>
      <c r="K12" s="4"/>
      <c r="L12" s="4">
        <f t="shared" ref="L12:L14" si="0">+D12-H12</f>
        <v>-10917.480000000003</v>
      </c>
      <c r="M12" s="4"/>
      <c r="N12" s="12">
        <f t="shared" ref="N12:N14" si="1">IF(H12=0,0,L12/H12)</f>
        <v>-0.30040117766832686</v>
      </c>
      <c r="O12" s="10"/>
      <c r="P12" s="4">
        <f>SUM(OSRRefP13x_0)</f>
        <v>48064.47</v>
      </c>
      <c r="Q12" s="4"/>
      <c r="R12" s="12"/>
      <c r="S12" s="4"/>
      <c r="T12" s="4">
        <f>SUM(OSRRefT13x_0)</f>
        <v>72191</v>
      </c>
      <c r="U12" s="4"/>
      <c r="V12" s="12"/>
      <c r="W12" s="4"/>
      <c r="X12" s="4">
        <f t="shared" ref="X12:X14" si="2">+P12-T12</f>
        <v>-24126.53</v>
      </c>
      <c r="Y12" s="4"/>
      <c r="Z12" s="12">
        <f t="shared" ref="Z12:Z14" si="3">IF(T12=0,0,X12/T12)</f>
        <v>-0.33420412516795722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--4222.65</f>
        <v>4222.6499999999996</v>
      </c>
      <c r="E13" s="2"/>
      <c r="F13" s="19"/>
      <c r="G13" s="2"/>
      <c r="H13" s="2">
        <v>6442</v>
      </c>
      <c r="I13" s="2"/>
      <c r="J13" s="19"/>
      <c r="K13" s="2"/>
      <c r="L13" s="2">
        <f t="shared" si="0"/>
        <v>-2219.3500000000004</v>
      </c>
      <c r="M13" s="2"/>
      <c r="N13" s="19">
        <f t="shared" si="1"/>
        <v>-0.34451257373486499</v>
      </c>
      <c r="O13" s="11"/>
      <c r="P13" s="2">
        <f>--8316.5</f>
        <v>8316.5</v>
      </c>
      <c r="Q13" s="2"/>
      <c r="R13" s="19"/>
      <c r="S13" s="2"/>
      <c r="T13" s="2">
        <v>12796</v>
      </c>
      <c r="U13" s="2"/>
      <c r="V13" s="19"/>
      <c r="W13" s="2"/>
      <c r="X13" s="2">
        <f t="shared" si="2"/>
        <v>-4479.5</v>
      </c>
      <c r="Y13" s="2"/>
      <c r="Z13" s="19">
        <f t="shared" si="3"/>
        <v>-0.35007033447952485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--21202.87</f>
        <v>21202.87</v>
      </c>
      <c r="E14" s="2"/>
      <c r="F14" s="19"/>
      <c r="G14" s="2"/>
      <c r="H14" s="2">
        <v>29901</v>
      </c>
      <c r="I14" s="2"/>
      <c r="J14" s="19"/>
      <c r="K14" s="2"/>
      <c r="L14" s="2">
        <f t="shared" si="0"/>
        <v>-8698.130000000001</v>
      </c>
      <c r="M14" s="2"/>
      <c r="N14" s="19">
        <f t="shared" si="1"/>
        <v>-0.29089762884184478</v>
      </c>
      <c r="O14" s="11"/>
      <c r="P14" s="2">
        <f>--39747.97</f>
        <v>39747.97</v>
      </c>
      <c r="Q14" s="2"/>
      <c r="R14" s="19"/>
      <c r="S14" s="2"/>
      <c r="T14" s="2">
        <v>59395</v>
      </c>
      <c r="U14" s="2"/>
      <c r="V14" s="19"/>
      <c r="W14" s="2"/>
      <c r="X14" s="2">
        <f t="shared" si="2"/>
        <v>-19647.03</v>
      </c>
      <c r="Y14" s="2"/>
      <c r="Z14" s="19">
        <f t="shared" si="3"/>
        <v>-0.33078592474113983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257</v>
      </c>
      <c r="C16" s="10"/>
      <c r="D16" s="4">
        <f>SUM(OSRRefD16x_0)</f>
        <v>12458.560000000001</v>
      </c>
      <c r="E16" s="4"/>
      <c r="F16" s="12">
        <f t="shared" ref="F16:F19" si="4">IF(D$12=0,0,D16/D$12)</f>
        <v>0.49000217104704263</v>
      </c>
      <c r="G16" s="4"/>
      <c r="H16" s="4">
        <f>SUM(OSRRefH16x_0)</f>
        <v>17808</v>
      </c>
      <c r="I16" s="4"/>
      <c r="J16" s="12">
        <f t="shared" ref="J16:J19" si="5">IF(H$12=0,0,H16/H$12)</f>
        <v>0.48999807390694217</v>
      </c>
      <c r="K16" s="4"/>
      <c r="L16" s="4">
        <f t="shared" ref="L16:L19" si="6">+D16-H16</f>
        <v>-5349.4399999999987</v>
      </c>
      <c r="M16" s="4"/>
      <c r="N16" s="12">
        <f t="shared" ref="N16:N19" si="7">IF(H16=0,0,L16/H16)</f>
        <v>-0.30039532794249768</v>
      </c>
      <c r="O16" s="10"/>
      <c r="P16" s="4">
        <f>SUM(OSRRefP16x_0)</f>
        <v>23550.639999999999</v>
      </c>
      <c r="Q16" s="4"/>
      <c r="R16" s="12">
        <f t="shared" ref="R16:R19" si="8">IF(P$12=0,0,P16/P$12)</f>
        <v>0.48998022863874291</v>
      </c>
      <c r="S16" s="4"/>
      <c r="T16" s="4">
        <f>SUM(OSRRefT16x_0)</f>
        <v>35374</v>
      </c>
      <c r="U16" s="4"/>
      <c r="V16" s="12">
        <f t="shared" ref="V16:V19" si="9">IF(T$12=0,0,T16/T$12)</f>
        <v>0.49000567937831585</v>
      </c>
      <c r="W16" s="4"/>
      <c r="X16" s="4">
        <f t="shared" ref="X16:X19" si="10">+P16-T16</f>
        <v>-11823.36</v>
      </c>
      <c r="Y16" s="4"/>
      <c r="Z16" s="12">
        <f t="shared" ref="Z16:Z19" si="11">IF(T16=0,0,X16/T16)</f>
        <v>-0.33423870639452707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4"/>
        <v>0</v>
      </c>
      <c r="G17" s="2"/>
      <c r="H17" s="2">
        <v>17808</v>
      </c>
      <c r="I17" s="2"/>
      <c r="J17" s="19">
        <f t="shared" si="5"/>
        <v>0.48999807390694217</v>
      </c>
      <c r="K17" s="2"/>
      <c r="L17" s="2">
        <f t="shared" si="6"/>
        <v>-17808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35374</v>
      </c>
      <c r="U17" s="2"/>
      <c r="V17" s="19">
        <f t="shared" si="9"/>
        <v>0.49000567937831585</v>
      </c>
      <c r="W17" s="2"/>
      <c r="X17" s="2">
        <f t="shared" si="10"/>
        <v>-35374</v>
      </c>
      <c r="Y17" s="2"/>
      <c r="Z17" s="19">
        <f t="shared" si="11"/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12727.12</v>
      </c>
      <c r="E18" s="2"/>
      <c r="F18" s="19">
        <f t="shared" si="4"/>
        <v>0.50056478687554873</v>
      </c>
      <c r="G18" s="2"/>
      <c r="H18" s="2"/>
      <c r="I18" s="2"/>
      <c r="J18" s="19">
        <f t="shared" si="5"/>
        <v>0</v>
      </c>
      <c r="K18" s="2"/>
      <c r="L18" s="2">
        <f t="shared" si="6"/>
        <v>12727.12</v>
      </c>
      <c r="M18" s="2"/>
      <c r="N18" s="19">
        <f t="shared" si="7"/>
        <v>0</v>
      </c>
      <c r="O18" s="11"/>
      <c r="P18" s="2">
        <v>36038</v>
      </c>
      <c r="Q18" s="2"/>
      <c r="R18" s="19">
        <f t="shared" si="8"/>
        <v>0.74978461220939285</v>
      </c>
      <c r="S18" s="2"/>
      <c r="T18" s="2"/>
      <c r="U18" s="2"/>
      <c r="V18" s="19">
        <f t="shared" si="9"/>
        <v>0</v>
      </c>
      <c r="W18" s="2"/>
      <c r="X18" s="2">
        <f t="shared" si="10"/>
        <v>36038</v>
      </c>
      <c r="Y18" s="2"/>
      <c r="Z18" s="19">
        <f t="shared" si="11"/>
        <v>0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-268.56</v>
      </c>
      <c r="E19" s="2"/>
      <c r="F19" s="19">
        <f t="shared" si="4"/>
        <v>-1.0562615828506164E-2</v>
      </c>
      <c r="G19" s="2"/>
      <c r="H19" s="2"/>
      <c r="I19" s="2"/>
      <c r="J19" s="19">
        <f t="shared" si="5"/>
        <v>0</v>
      </c>
      <c r="K19" s="2"/>
      <c r="L19" s="2">
        <f t="shared" si="6"/>
        <v>-268.56</v>
      </c>
      <c r="M19" s="2"/>
      <c r="N19" s="19">
        <f t="shared" si="7"/>
        <v>0</v>
      </c>
      <c r="O19" s="11"/>
      <c r="P19" s="2">
        <v>-12487.36</v>
      </c>
      <c r="Q19" s="2"/>
      <c r="R19" s="19">
        <f t="shared" si="8"/>
        <v>-0.25980438357065</v>
      </c>
      <c r="S19" s="2"/>
      <c r="T19" s="2"/>
      <c r="U19" s="2"/>
      <c r="V19" s="19">
        <f t="shared" si="9"/>
        <v>0</v>
      </c>
      <c r="W19" s="2"/>
      <c r="X19" s="2">
        <f t="shared" si="10"/>
        <v>-12487.36</v>
      </c>
      <c r="Y19" s="2"/>
      <c r="Z19" s="19">
        <f t="shared" si="11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108</v>
      </c>
      <c r="C21" s="26"/>
      <c r="D21" s="21">
        <f>D12-D16</f>
        <v>12966.959999999995</v>
      </c>
      <c r="E21" s="13"/>
      <c r="F21" s="20">
        <f>IF(D$12=0,0,D21/D$12)</f>
        <v>0.50999782895295742</v>
      </c>
      <c r="G21" s="13"/>
      <c r="H21" s="21">
        <f>H12-H16</f>
        <v>18535</v>
      </c>
      <c r="I21" s="13"/>
      <c r="J21" s="20">
        <f>IF(H$12=0,0,H21/H$12)</f>
        <v>0.51000192609305783</v>
      </c>
      <c r="K21" s="15"/>
      <c r="L21" s="21">
        <f>+D21-H21</f>
        <v>-5568.0400000000045</v>
      </c>
      <c r="M21" s="15"/>
      <c r="N21" s="20">
        <f>IF(H21=0,0,L21/H21)</f>
        <v>-0.30040679794982489</v>
      </c>
      <c r="O21" s="25"/>
      <c r="P21" s="21">
        <f>P12-P16</f>
        <v>24513.83</v>
      </c>
      <c r="Q21" s="13"/>
      <c r="R21" s="20">
        <f>IF(P$12=0,0,P21/P$12)</f>
        <v>0.51001977136125709</v>
      </c>
      <c r="S21" s="13"/>
      <c r="T21" s="21">
        <f>T12-T16</f>
        <v>36817</v>
      </c>
      <c r="U21" s="13"/>
      <c r="V21" s="20">
        <f>IF(T$12=0,0,T21/T$12)</f>
        <v>0.50999432062168415</v>
      </c>
      <c r="W21" s="15"/>
      <c r="X21" s="21">
        <f>+P21-T21</f>
        <v>-12303.169999999998</v>
      </c>
      <c r="Y21" s="15"/>
      <c r="Z21" s="20">
        <f>IF(T21=0,0,X21/T21)</f>
        <v>-0.3341708993128174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295</v>
      </c>
      <c r="C23" s="10"/>
      <c r="D23" s="22">
        <f>SUM(OSRRefD22x_0)</f>
        <v>17988.280000000002</v>
      </c>
      <c r="E23" s="22"/>
      <c r="F23" s="34">
        <f t="shared" ref="F23:F33" si="12">IF(D$12=0,0,D23/D$12)</f>
        <v>0.70748916836312514</v>
      </c>
      <c r="G23" s="22"/>
      <c r="H23" s="22">
        <f>SUM(OSRRefH22x_0)</f>
        <v>34195.285365384618</v>
      </c>
      <c r="I23" s="22"/>
      <c r="J23" s="34">
        <f t="shared" ref="J23:J33" si="13">IF(H$12=0,0,H23/H$12)</f>
        <v>0.94090431074442449</v>
      </c>
      <c r="K23" s="4"/>
      <c r="L23" s="22">
        <f t="shared" ref="L23:L33" si="14">+D23-H23</f>
        <v>-16207.005365384615</v>
      </c>
      <c r="M23" s="4"/>
      <c r="N23" s="34">
        <f t="shared" ref="N23:N33" si="15">IF(H23=0,0,L23/H23)</f>
        <v>-0.47395438266442214</v>
      </c>
      <c r="O23" s="10"/>
      <c r="P23" s="22">
        <f>SUM(OSRRefP22x_0)</f>
        <v>68974.479999999981</v>
      </c>
      <c r="Q23" s="22"/>
      <c r="R23" s="34">
        <f t="shared" ref="R23:R33" si="16">IF(P$12=0,0,P23/P$12)</f>
        <v>1.4350408940325354</v>
      </c>
      <c r="S23" s="22"/>
      <c r="T23" s="22">
        <f>SUM(OSRRefT22x_0)</f>
        <v>110674.07865538458</v>
      </c>
      <c r="U23" s="22"/>
      <c r="V23" s="34">
        <f t="shared" ref="V23:V33" si="17">IF(T$12=0,0,T23/T$12)</f>
        <v>1.5330730791287637</v>
      </c>
      <c r="W23" s="4"/>
      <c r="X23" s="22">
        <f t="shared" ref="X23:X33" si="18">+P23-T23</f>
        <v>-41699.598655384601</v>
      </c>
      <c r="Y23" s="4"/>
      <c r="Z23" s="34">
        <f t="shared" ref="Z23:Z33" si="19">IF(T23=0,0,X23/T23)</f>
        <v>-0.37677836727449282</v>
      </c>
    </row>
    <row r="24" spans="1:26" s="28" customFormat="1" outlineLevel="1" collapsed="1" x14ac:dyDescent="0.25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540.71</v>
      </c>
      <c r="E24" s="1"/>
      <c r="F24" s="5">
        <f t="shared" si="12"/>
        <v>2.1266428375899493E-2</v>
      </c>
      <c r="G24" s="1"/>
      <c r="H24" s="1">
        <f>SUM(OSRRefH22_0x_0)</f>
        <v>4646.7338269230768</v>
      </c>
      <c r="I24" s="1"/>
      <c r="J24" s="5">
        <f t="shared" si="13"/>
        <v>0.12785773950755516</v>
      </c>
      <c r="K24" s="1"/>
      <c r="L24" s="1">
        <f t="shared" si="14"/>
        <v>-4106.0238269230767</v>
      </c>
      <c r="M24" s="1"/>
      <c r="N24" s="5">
        <f t="shared" si="15"/>
        <v>-0.88363654555224624</v>
      </c>
      <c r="O24" s="14"/>
      <c r="P24" s="1">
        <f>SUM(OSRRefP22_0x_0)</f>
        <v>999.91</v>
      </c>
      <c r="Q24" s="1"/>
      <c r="R24" s="5">
        <f t="shared" si="16"/>
        <v>2.080351661008641E-2</v>
      </c>
      <c r="S24" s="1"/>
      <c r="T24" s="1">
        <f>SUM(OSRRefT22_0x_0)</f>
        <v>16173.797116923088</v>
      </c>
      <c r="U24" s="1"/>
      <c r="V24" s="5">
        <f t="shared" si="17"/>
        <v>0.22404173812418568</v>
      </c>
      <c r="W24" s="1"/>
      <c r="X24" s="1">
        <f t="shared" si="18"/>
        <v>-15173.887116923088</v>
      </c>
      <c r="Y24" s="1"/>
      <c r="Z24" s="5">
        <f t="shared" si="19"/>
        <v>-0.93817716441157983</v>
      </c>
    </row>
    <row r="25" spans="1:26" s="24" customFormat="1" hidden="1" outlineLevel="2" x14ac:dyDescent="0.25">
      <c r="A25" s="27"/>
      <c r="B25" s="11" t="str">
        <f>CONCATENATE("          ", "6111", " - ", "F.I.C.A.")</f>
        <v xml:space="preserve">          6111 - F.I.C.A.</v>
      </c>
      <c r="C25" s="11"/>
      <c r="D25" s="7">
        <v>359.05</v>
      </c>
      <c r="E25" s="2"/>
      <c r="F25" s="6">
        <f t="shared" si="12"/>
        <v>1.4121638416834741E-2</v>
      </c>
      <c r="G25" s="2"/>
      <c r="H25" s="7">
        <v>606.79459615384599</v>
      </c>
      <c r="I25" s="2"/>
      <c r="J25" s="6">
        <f t="shared" si="13"/>
        <v>1.6696326559553311E-2</v>
      </c>
      <c r="K25" s="2"/>
      <c r="L25" s="7">
        <f t="shared" si="14"/>
        <v>-247.74459615384598</v>
      </c>
      <c r="M25" s="2"/>
      <c r="N25" s="6">
        <f t="shared" si="15"/>
        <v>-0.40828411743309773</v>
      </c>
      <c r="O25" s="11"/>
      <c r="P25" s="7">
        <v>683.81</v>
      </c>
      <c r="Q25" s="2"/>
      <c r="R25" s="6">
        <f t="shared" si="16"/>
        <v>1.4226933117123728E-2</v>
      </c>
      <c r="S25" s="2"/>
      <c r="T25" s="7">
        <v>1960.8398861538501</v>
      </c>
      <c r="U25" s="2"/>
      <c r="V25" s="6">
        <f t="shared" si="17"/>
        <v>2.7161833000704384E-2</v>
      </c>
      <c r="W25" s="2"/>
      <c r="X25" s="7">
        <f t="shared" si="18"/>
        <v>-1277.0298861538502</v>
      </c>
      <c r="Y25" s="2"/>
      <c r="Z25" s="6">
        <f t="shared" si="19"/>
        <v>-0.65126678377535452</v>
      </c>
    </row>
    <row r="26" spans="1:26" s="24" customFormat="1" hidden="1" outlineLevel="2" x14ac:dyDescent="0.25">
      <c r="A26" s="27"/>
      <c r="B26" s="11" t="str">
        <f>CONCATENATE("          ", "6112", " - ", "COMPENSATION INSURANCE")</f>
        <v xml:space="preserve">          6112 - COMPENSATION INSURANCE</v>
      </c>
      <c r="C26" s="11"/>
      <c r="D26" s="7">
        <v>120.49</v>
      </c>
      <c r="E26" s="2"/>
      <c r="F26" s="6">
        <f t="shared" si="12"/>
        <v>4.7389394592519648E-3</v>
      </c>
      <c r="G26" s="2"/>
      <c r="H26" s="7">
        <v>628.41406923076897</v>
      </c>
      <c r="I26" s="2"/>
      <c r="J26" s="6">
        <f t="shared" si="13"/>
        <v>1.7291199659652999E-2</v>
      </c>
      <c r="K26" s="2"/>
      <c r="L26" s="7">
        <f t="shared" si="14"/>
        <v>-507.92406923076896</v>
      </c>
      <c r="M26" s="2"/>
      <c r="N26" s="6">
        <f t="shared" si="15"/>
        <v>-0.80826336344205374</v>
      </c>
      <c r="O26" s="11"/>
      <c r="P26" s="7">
        <v>236.25</v>
      </c>
      <c r="Q26" s="2"/>
      <c r="R26" s="6">
        <f t="shared" si="16"/>
        <v>4.9152731737185495E-3</v>
      </c>
      <c r="S26" s="2"/>
      <c r="T26" s="7">
        <v>1655.01136923077</v>
      </c>
      <c r="U26" s="2"/>
      <c r="V26" s="6">
        <f t="shared" si="17"/>
        <v>2.292545288513485E-2</v>
      </c>
      <c r="W26" s="2"/>
      <c r="X26" s="7">
        <f t="shared" si="18"/>
        <v>-1418.76136923077</v>
      </c>
      <c r="Y26" s="2"/>
      <c r="Z26" s="6">
        <f t="shared" si="19"/>
        <v>-0.85725173591417303</v>
      </c>
    </row>
    <row r="27" spans="1:26" s="24" customFormat="1" hidden="1" outlineLevel="2" x14ac:dyDescent="0.25">
      <c r="A27" s="27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6">
        <f t="shared" si="12"/>
        <v>0</v>
      </c>
      <c r="G27" s="2"/>
      <c r="H27" s="7">
        <v>1977</v>
      </c>
      <c r="I27" s="2"/>
      <c r="J27" s="6">
        <f t="shared" si="13"/>
        <v>5.4398371075585393E-2</v>
      </c>
      <c r="K27" s="2"/>
      <c r="L27" s="7">
        <f t="shared" si="14"/>
        <v>-1977</v>
      </c>
      <c r="M27" s="2"/>
      <c r="N27" s="6">
        <f t="shared" si="15"/>
        <v>-1</v>
      </c>
      <c r="O27" s="11"/>
      <c r="P27" s="7"/>
      <c r="Q27" s="2"/>
      <c r="R27" s="6">
        <f t="shared" si="16"/>
        <v>0</v>
      </c>
      <c r="S27" s="2"/>
      <c r="T27" s="7">
        <v>7908</v>
      </c>
      <c r="U27" s="2"/>
      <c r="V27" s="6">
        <f t="shared" si="17"/>
        <v>0.10954274078486238</v>
      </c>
      <c r="W27" s="2"/>
      <c r="X27" s="7">
        <f t="shared" si="18"/>
        <v>-7908</v>
      </c>
      <c r="Y27" s="2"/>
      <c r="Z27" s="6">
        <f t="shared" si="19"/>
        <v>-1</v>
      </c>
    </row>
    <row r="28" spans="1:26" s="24" customFormat="1" hidden="1" outlineLevel="2" x14ac:dyDescent="0.25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>
        <v>21.17</v>
      </c>
      <c r="E28" s="2"/>
      <c r="F28" s="6">
        <f t="shared" si="12"/>
        <v>8.3262800524827043E-4</v>
      </c>
      <c r="G28" s="2"/>
      <c r="H28" s="7">
        <v>34.819776923076901</v>
      </c>
      <c r="I28" s="2"/>
      <c r="J28" s="6">
        <f t="shared" si="13"/>
        <v>9.5808758008631377E-4</v>
      </c>
      <c r="K28" s="2"/>
      <c r="L28" s="7">
        <f t="shared" si="14"/>
        <v>-13.649776923076899</v>
      </c>
      <c r="M28" s="2"/>
      <c r="N28" s="6">
        <f t="shared" si="15"/>
        <v>-0.39201218759188755</v>
      </c>
      <c r="O28" s="11"/>
      <c r="P28" s="7">
        <v>39.85</v>
      </c>
      <c r="Q28" s="2"/>
      <c r="R28" s="6">
        <f t="shared" si="16"/>
        <v>8.290947554399331E-4</v>
      </c>
      <c r="S28" s="2"/>
      <c r="T28" s="7">
        <v>91.702476923076802</v>
      </c>
      <c r="U28" s="2"/>
      <c r="V28" s="6">
        <f t="shared" si="17"/>
        <v>1.2702757535298971E-3</v>
      </c>
      <c r="W28" s="2"/>
      <c r="X28" s="7">
        <f t="shared" si="18"/>
        <v>-51.8524769230768</v>
      </c>
      <c r="Y28" s="2"/>
      <c r="Z28" s="6">
        <f t="shared" si="19"/>
        <v>-0.56544249035467653</v>
      </c>
    </row>
    <row r="29" spans="1:26" s="24" customFormat="1" hidden="1" outlineLevel="2" x14ac:dyDescent="0.25">
      <c r="A29" s="27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2"/>
        <v>0</v>
      </c>
      <c r="G29" s="2"/>
      <c r="H29" s="7">
        <v>497.41076923076901</v>
      </c>
      <c r="I29" s="2"/>
      <c r="J29" s="6">
        <f t="shared" si="13"/>
        <v>1.3686563278506701E-2</v>
      </c>
      <c r="K29" s="2"/>
      <c r="L29" s="7">
        <f t="shared" si="14"/>
        <v>-497.41076923076901</v>
      </c>
      <c r="M29" s="2"/>
      <c r="N29" s="6">
        <f t="shared" si="15"/>
        <v>-1</v>
      </c>
      <c r="O29" s="11"/>
      <c r="P29" s="7"/>
      <c r="Q29" s="2"/>
      <c r="R29" s="6">
        <f t="shared" si="16"/>
        <v>0</v>
      </c>
      <c r="S29" s="2"/>
      <c r="T29" s="7">
        <v>1790.6787692307701</v>
      </c>
      <c r="U29" s="2"/>
      <c r="V29" s="6">
        <f t="shared" si="17"/>
        <v>2.4804737006424209E-2</v>
      </c>
      <c r="W29" s="2"/>
      <c r="X29" s="7">
        <f t="shared" si="18"/>
        <v>-1790.6787692307701</v>
      </c>
      <c r="Y29" s="2"/>
      <c r="Z29" s="6">
        <f t="shared" si="19"/>
        <v>-1</v>
      </c>
    </row>
    <row r="30" spans="1:26" s="24" customFormat="1" hidden="1" outlineLevel="2" x14ac:dyDescent="0.25">
      <c r="A30" s="27"/>
      <c r="B30" s="11" t="str">
        <f>CONCATENATE("          ", "6116", " - ", "EDUCATIONAL BENEFITS")</f>
        <v xml:space="preserve">          6116 - EDUCATIONAL BENEFITS</v>
      </c>
      <c r="C30" s="11"/>
      <c r="D30" s="7"/>
      <c r="E30" s="2"/>
      <c r="F30" s="6">
        <f t="shared" si="12"/>
        <v>0</v>
      </c>
      <c r="G30" s="2"/>
      <c r="H30" s="7">
        <v>0</v>
      </c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/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0</v>
      </c>
      <c r="Y30" s="2"/>
      <c r="Z30" s="6">
        <f t="shared" si="19"/>
        <v>0</v>
      </c>
    </row>
    <row r="31" spans="1:26" s="24" customFormat="1" hidden="1" outlineLevel="2" x14ac:dyDescent="0.25">
      <c r="A31" s="27"/>
      <c r="B31" s="11" t="str">
        <f>CONCATENATE("          ", "6118", " - ", "VACATION")</f>
        <v xml:space="preserve">          6118 - VACATION</v>
      </c>
      <c r="C31" s="11"/>
      <c r="D31" s="7"/>
      <c r="E31" s="2"/>
      <c r="F31" s="6">
        <f t="shared" si="12"/>
        <v>0</v>
      </c>
      <c r="G31" s="2"/>
      <c r="H31" s="7">
        <v>289.19230769230802</v>
      </c>
      <c r="I31" s="2"/>
      <c r="J31" s="6">
        <f t="shared" si="13"/>
        <v>7.9573042316899538E-3</v>
      </c>
      <c r="K31" s="2"/>
      <c r="L31" s="7">
        <f t="shared" si="14"/>
        <v>-289.19230769230802</v>
      </c>
      <c r="M31" s="2"/>
      <c r="N31" s="6">
        <f t="shared" si="15"/>
        <v>-1</v>
      </c>
      <c r="O31" s="11"/>
      <c r="P31" s="7"/>
      <c r="Q31" s="2"/>
      <c r="R31" s="6">
        <f t="shared" si="16"/>
        <v>0</v>
      </c>
      <c r="S31" s="2"/>
      <c r="T31" s="7">
        <v>1041.09230769231</v>
      </c>
      <c r="U31" s="2"/>
      <c r="V31" s="6">
        <f t="shared" si="17"/>
        <v>1.4421358724665262E-2</v>
      </c>
      <c r="W31" s="2"/>
      <c r="X31" s="7">
        <f t="shared" si="18"/>
        <v>-1041.09230769231</v>
      </c>
      <c r="Y31" s="2"/>
      <c r="Z31" s="6">
        <f t="shared" si="19"/>
        <v>-1</v>
      </c>
    </row>
    <row r="32" spans="1:26" s="24" customFormat="1" hidden="1" outlineLevel="2" x14ac:dyDescent="0.25">
      <c r="A32" s="27"/>
      <c r="B32" s="11" t="str">
        <f>CONCATENATE("          ", "6119", " - ", "SICK LEAVE")</f>
        <v xml:space="preserve">          6119 - SICK LEAVE</v>
      </c>
      <c r="C32" s="11"/>
      <c r="D32" s="7"/>
      <c r="E32" s="2"/>
      <c r="F32" s="6">
        <f t="shared" si="12"/>
        <v>0</v>
      </c>
      <c r="G32" s="2"/>
      <c r="H32" s="7">
        <v>613.10230769230805</v>
      </c>
      <c r="I32" s="2"/>
      <c r="J32" s="6">
        <f t="shared" si="13"/>
        <v>1.6869887122480477E-2</v>
      </c>
      <c r="K32" s="2"/>
      <c r="L32" s="7">
        <f t="shared" si="14"/>
        <v>-613.10230769230805</v>
      </c>
      <c r="M32" s="2"/>
      <c r="N32" s="6">
        <f t="shared" si="15"/>
        <v>-1</v>
      </c>
      <c r="O32" s="11"/>
      <c r="P32" s="7"/>
      <c r="Q32" s="2"/>
      <c r="R32" s="6">
        <f t="shared" si="16"/>
        <v>0</v>
      </c>
      <c r="S32" s="2"/>
      <c r="T32" s="7">
        <v>1726.4723076923101</v>
      </c>
      <c r="U32" s="2"/>
      <c r="V32" s="6">
        <f t="shared" si="17"/>
        <v>2.391533996886468E-2</v>
      </c>
      <c r="W32" s="2"/>
      <c r="X32" s="7">
        <f t="shared" si="18"/>
        <v>-1726.4723076923101</v>
      </c>
      <c r="Y32" s="2"/>
      <c r="Z32" s="6">
        <f t="shared" si="19"/>
        <v>-1</v>
      </c>
    </row>
    <row r="33" spans="1:26" s="24" customFormat="1" hidden="1" outlineLevel="2" x14ac:dyDescent="0.25">
      <c r="A33" s="27"/>
      <c r="B33" s="11" t="str">
        <f>CONCATENATE("          ", "6156", " - ", "EMPLOYEE MEALS")</f>
        <v xml:space="preserve">          6156 - EMPLOYEE MEALS</v>
      </c>
      <c r="C33" s="11"/>
      <c r="D33" s="7">
        <v>40</v>
      </c>
      <c r="E33" s="2"/>
      <c r="F33" s="6">
        <f t="shared" si="12"/>
        <v>1.5732224945645165E-3</v>
      </c>
      <c r="G33" s="2"/>
      <c r="H33" s="7"/>
      <c r="I33" s="2"/>
      <c r="J33" s="6">
        <f t="shared" si="13"/>
        <v>0</v>
      </c>
      <c r="K33" s="2"/>
      <c r="L33" s="7">
        <f t="shared" si="14"/>
        <v>40</v>
      </c>
      <c r="M33" s="2"/>
      <c r="N33" s="6">
        <f t="shared" si="15"/>
        <v>0</v>
      </c>
      <c r="O33" s="11"/>
      <c r="P33" s="7">
        <v>40</v>
      </c>
      <c r="Q33" s="2"/>
      <c r="R33" s="6">
        <f t="shared" si="16"/>
        <v>8.3221556380419883E-4</v>
      </c>
      <c r="S33" s="2"/>
      <c r="T33" s="7"/>
      <c r="U33" s="2"/>
      <c r="V33" s="6">
        <f t="shared" si="17"/>
        <v>0</v>
      </c>
      <c r="W33" s="2"/>
      <c r="X33" s="7">
        <f t="shared" si="18"/>
        <v>40</v>
      </c>
      <c r="Y33" s="2"/>
      <c r="Z33" s="6">
        <f t="shared" si="19"/>
        <v>0</v>
      </c>
    </row>
    <row r="34" spans="1:26" s="28" customFormat="1" outlineLevel="1" collapsed="1" x14ac:dyDescent="0.25">
      <c r="A34" s="29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6310.97</v>
      </c>
      <c r="E34" s="1"/>
      <c r="F34" s="5">
        <f t="shared" ref="F34:F44" si="20">IF(D$12=0,0,D34/D$12)</f>
        <v>0.24821399916304568</v>
      </c>
      <c r="G34" s="1"/>
      <c r="H34" s="1">
        <f>SUM(OSRRefH22_1x_0)</f>
        <v>15678.551538461541</v>
      </c>
      <c r="I34" s="1"/>
      <c r="J34" s="5">
        <f t="shared" ref="J34:J44" si="21">IF(H$12=0,0,H34/H$12)</f>
        <v>0.43140498963931267</v>
      </c>
      <c r="K34" s="1"/>
      <c r="L34" s="1">
        <f t="shared" ref="L34:L44" si="22">+D34-H34</f>
        <v>-9367.5815384615416</v>
      </c>
      <c r="M34" s="1"/>
      <c r="N34" s="5">
        <f t="shared" ref="N34:N44" si="23">IF(H34=0,0,L34/H34)</f>
        <v>-0.59747748479708962</v>
      </c>
      <c r="O34" s="14"/>
      <c r="P34" s="1">
        <f>SUM(OSRRefP22_1x_0)</f>
        <v>14281.46</v>
      </c>
      <c r="Q34" s="1"/>
      <c r="R34" s="5">
        <f t="shared" ref="R34:R44" si="24">IF(P$12=0,0,P34/P$12)</f>
        <v>0.29713133214617782</v>
      </c>
      <c r="S34" s="1"/>
      <c r="T34" s="1">
        <f>SUM(OSRRefT22_1x_0)</f>
        <v>40900.281538461495</v>
      </c>
      <c r="U34" s="1"/>
      <c r="V34" s="5">
        <f t="shared" ref="V34:V44" si="25">IF(T$12=0,0,T34/T$12)</f>
        <v>0.56655651727308798</v>
      </c>
      <c r="W34" s="1"/>
      <c r="X34" s="1">
        <f t="shared" ref="X34:X44" si="26">+P34-T34</f>
        <v>-26618.821538461496</v>
      </c>
      <c r="Y34" s="1"/>
      <c r="Z34" s="5">
        <f t="shared" ref="Z34:Z44" si="27">IF(T34=0,0,X34/T34)</f>
        <v>-0.65082245249167514</v>
      </c>
    </row>
    <row r="35" spans="1:26" s="24" customFormat="1" hidden="1" outlineLevel="2" x14ac:dyDescent="0.25">
      <c r="A35" s="27"/>
      <c r="B35" s="11" t="str">
        <f>CONCATENATE("          ", "6001", " - ", "ADMINISTRATIVE SALARIES")</f>
        <v xml:space="preserve">          6001 - ADMINISTRATIVE SALARIES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7"/>
      <c r="B36" s="11" t="str">
        <f>CONCATENATE("          ", "6002", " - ", "STAFF SALARIES")</f>
        <v xml:space="preserve">          6002 - STAFF SALARIES</v>
      </c>
      <c r="C36" s="11"/>
      <c r="D36" s="7"/>
      <c r="E36" s="2"/>
      <c r="F36" s="6">
        <f t="shared" si="20"/>
        <v>0</v>
      </c>
      <c r="G36" s="2"/>
      <c r="H36" s="7">
        <v>5205.4615384615399</v>
      </c>
      <c r="I36" s="2"/>
      <c r="J36" s="6">
        <f t="shared" si="21"/>
        <v>0.14323147617041906</v>
      </c>
      <c r="K36" s="2"/>
      <c r="L36" s="7">
        <f t="shared" si="22"/>
        <v>-5205.4615384615399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18739.6615384615</v>
      </c>
      <c r="U36" s="2"/>
      <c r="V36" s="6">
        <f t="shared" si="25"/>
        <v>0.25958445704397365</v>
      </c>
      <c r="W36" s="2"/>
      <c r="X36" s="7">
        <f t="shared" si="26"/>
        <v>-18739.6615384615</v>
      </c>
      <c r="Y36" s="2"/>
      <c r="Z36" s="6">
        <f t="shared" si="27"/>
        <v>-1</v>
      </c>
    </row>
    <row r="37" spans="1:26" s="24" customFormat="1" hidden="1" outlineLevel="2" x14ac:dyDescent="0.25">
      <c r="A37" s="27"/>
      <c r="B37" s="11" t="str">
        <f>CONCATENATE("          ", "6003", " - ", "STAFF HOURLY-9 MONTH")</f>
        <v xml:space="preserve">          6003 - STAFF HOURLY-9 MONTH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7"/>
      <c r="B38" s="11" t="str">
        <f>CONCATENATE("          ", "6004", " - ", "STAFF HOURLY")</f>
        <v xml:space="preserve">          6004 - STAFF HOURLY</v>
      </c>
      <c r="C38" s="11"/>
      <c r="D38" s="7"/>
      <c r="E38" s="2"/>
      <c r="F38" s="6">
        <f t="shared" si="20"/>
        <v>0</v>
      </c>
      <c r="G38" s="2"/>
      <c r="H38" s="7">
        <v>2080.65</v>
      </c>
      <c r="I38" s="2"/>
      <c r="J38" s="6">
        <f t="shared" si="21"/>
        <v>5.7250364581900227E-2</v>
      </c>
      <c r="K38" s="2"/>
      <c r="L38" s="7">
        <f t="shared" si="22"/>
        <v>-2080.65</v>
      </c>
      <c r="M38" s="2"/>
      <c r="N38" s="6">
        <f t="shared" si="23"/>
        <v>-1</v>
      </c>
      <c r="O38" s="11"/>
      <c r="P38" s="7"/>
      <c r="Q38" s="2"/>
      <c r="R38" s="6">
        <f t="shared" si="24"/>
        <v>0</v>
      </c>
      <c r="S38" s="2"/>
      <c r="T38" s="7">
        <v>4656</v>
      </c>
      <c r="U38" s="2"/>
      <c r="V38" s="6">
        <f t="shared" si="25"/>
        <v>6.4495574240556297E-2</v>
      </c>
      <c r="W38" s="2"/>
      <c r="X38" s="7">
        <f t="shared" si="26"/>
        <v>-4656</v>
      </c>
      <c r="Y38" s="2"/>
      <c r="Z38" s="6">
        <f t="shared" si="27"/>
        <v>-1</v>
      </c>
    </row>
    <row r="39" spans="1:26" s="24" customFormat="1" hidden="1" outlineLevel="2" x14ac:dyDescent="0.25">
      <c r="A39" s="27"/>
      <c r="B39" s="11" t="str">
        <f>CONCATENATE("          ", "6005", " - ", "TEMPORARY WAGES-HOURLY")</f>
        <v xml:space="preserve">          6005 - TEMPORARY WAGES-HOURLY</v>
      </c>
      <c r="C39" s="11"/>
      <c r="D39" s="7">
        <v>4693.5</v>
      </c>
      <c r="E39" s="2"/>
      <c r="F39" s="6">
        <f t="shared" si="20"/>
        <v>0.18459799445596395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4693.5</v>
      </c>
      <c r="M39" s="2"/>
      <c r="N39" s="6">
        <f t="shared" si="23"/>
        <v>0</v>
      </c>
      <c r="O39" s="11"/>
      <c r="P39" s="7">
        <v>8090.1</v>
      </c>
      <c r="Q39" s="2"/>
      <c r="R39" s="6">
        <f t="shared" si="24"/>
        <v>0.16831767831830874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8090.1</v>
      </c>
      <c r="Y39" s="2"/>
      <c r="Z39" s="6">
        <f t="shared" si="27"/>
        <v>0</v>
      </c>
    </row>
    <row r="40" spans="1:26" s="24" customFormat="1" hidden="1" outlineLevel="2" x14ac:dyDescent="0.25">
      <c r="A40" s="27"/>
      <c r="B40" s="11" t="str">
        <f>CONCATENATE("          ", "6006", " - ", "TEMPORARY PART TIME")</f>
        <v xml:space="preserve">          6006 - TEMPORARY PART TIME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7"/>
      <c r="B41" s="11" t="str">
        <f>CONCATENATE("          ", "6007", " - ", "STUDENT HOURLY")</f>
        <v xml:space="preserve">          6007 - STUDENT HOURLY</v>
      </c>
      <c r="C41" s="11"/>
      <c r="D41" s="7">
        <v>1617.47</v>
      </c>
      <c r="E41" s="2"/>
      <c r="F41" s="6">
        <f t="shared" si="20"/>
        <v>6.3616004707081716E-2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1617.47</v>
      </c>
      <c r="M41" s="2"/>
      <c r="N41" s="6">
        <f t="shared" si="23"/>
        <v>0</v>
      </c>
      <c r="O41" s="11"/>
      <c r="P41" s="7">
        <v>6191.36</v>
      </c>
      <c r="Q41" s="2"/>
      <c r="R41" s="6">
        <f t="shared" si="24"/>
        <v>0.12881365382786911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6191.36</v>
      </c>
      <c r="Y41" s="2"/>
      <c r="Z41" s="6">
        <f t="shared" si="27"/>
        <v>0</v>
      </c>
    </row>
    <row r="42" spans="1:26" s="24" customFormat="1" hidden="1" outlineLevel="2" x14ac:dyDescent="0.25">
      <c r="A42" s="27"/>
      <c r="B42" s="11" t="str">
        <f>CONCATENATE("          ", "6008", " - ", "STUDENT HOURLY-FICA EXEMPT")</f>
        <v xml:space="preserve">          6008 - STUDENT HOURLY-FICA EXEMPT</v>
      </c>
      <c r="C42" s="11"/>
      <c r="D42" s="7"/>
      <c r="E42" s="2"/>
      <c r="F42" s="6">
        <f t="shared" si="20"/>
        <v>0</v>
      </c>
      <c r="G42" s="2"/>
      <c r="H42" s="7">
        <v>8392.44</v>
      </c>
      <c r="I42" s="2"/>
      <c r="J42" s="6">
        <f t="shared" si="21"/>
        <v>0.23092314888699339</v>
      </c>
      <c r="K42" s="2"/>
      <c r="L42" s="7">
        <f t="shared" si="22"/>
        <v>-8392.44</v>
      </c>
      <c r="M42" s="2"/>
      <c r="N42" s="6">
        <f t="shared" si="23"/>
        <v>-1</v>
      </c>
      <c r="O42" s="11"/>
      <c r="P42" s="7"/>
      <c r="Q42" s="2"/>
      <c r="R42" s="6">
        <f t="shared" si="24"/>
        <v>0</v>
      </c>
      <c r="S42" s="2"/>
      <c r="T42" s="7">
        <v>17504.62</v>
      </c>
      <c r="U42" s="2"/>
      <c r="V42" s="6">
        <f t="shared" si="25"/>
        <v>0.24247648598855812</v>
      </c>
      <c r="W42" s="2"/>
      <c r="X42" s="7">
        <f t="shared" si="26"/>
        <v>-17504.62</v>
      </c>
      <c r="Y42" s="2"/>
      <c r="Z42" s="6">
        <f t="shared" si="27"/>
        <v>-1</v>
      </c>
    </row>
    <row r="43" spans="1:26" s="24" customFormat="1" hidden="1" outlineLevel="2" x14ac:dyDescent="0.25">
      <c r="A43" s="27"/>
      <c r="B43" s="11" t="str">
        <f>CONCATENATE("          ", "6009", " - ", "TEMPORARY-SEASONAL")</f>
        <v xml:space="preserve">          6009 - TEMPORARY-SEASONAL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7"/>
      <c r="B44" s="11" t="str">
        <f>CONCATENATE("          ", "6010", " - ", "GRATUITY")</f>
        <v xml:space="preserve">          6010 - GRATUITY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8" customFormat="1" outlineLevel="1" collapsed="1" x14ac:dyDescent="0.25">
      <c r="A45" s="29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0</v>
      </c>
      <c r="E45" s="1"/>
      <c r="F45" s="5">
        <f t="shared" ref="F45:F53" si="28">IF(D$12=0,0,D45/D$12)</f>
        <v>0</v>
      </c>
      <c r="G45" s="1"/>
      <c r="H45" s="1">
        <f>SUM(OSRRefH22_2x_0)</f>
        <v>0</v>
      </c>
      <c r="I45" s="1"/>
      <c r="J45" s="5">
        <f t="shared" ref="J45:J53" si="29">IF(H$12=0,0,H45/H$12)</f>
        <v>0</v>
      </c>
      <c r="K45" s="1"/>
      <c r="L45" s="1">
        <f t="shared" ref="L45:L53" si="30">+D45-H45</f>
        <v>0</v>
      </c>
      <c r="M45" s="1"/>
      <c r="N45" s="5">
        <f t="shared" ref="N45:N53" si="31">IF(H45=0,0,L45/H45)</f>
        <v>0</v>
      </c>
      <c r="O45" s="14"/>
      <c r="P45" s="1">
        <f>SUM(OSRRefP22_2x_0)</f>
        <v>87.97</v>
      </c>
      <c r="Q45" s="1"/>
      <c r="R45" s="5">
        <f t="shared" ref="R45:R53" si="32">IF(P$12=0,0,P45/P$12)</f>
        <v>1.8302500786963841E-3</v>
      </c>
      <c r="S45" s="1"/>
      <c r="T45" s="1">
        <f>SUM(OSRRefT22_2x_0)</f>
        <v>0</v>
      </c>
      <c r="U45" s="1"/>
      <c r="V45" s="5">
        <f t="shared" ref="V45:V53" si="33">IF(T$12=0,0,T45/T$12)</f>
        <v>0</v>
      </c>
      <c r="W45" s="1"/>
      <c r="X45" s="1">
        <f t="shared" ref="X45:X53" si="34">+P45-T45</f>
        <v>87.97</v>
      </c>
      <c r="Y45" s="1"/>
      <c r="Z45" s="5">
        <f t="shared" ref="Z45:Z53" si="35">IF(T45=0,0,X45/T45)</f>
        <v>0</v>
      </c>
    </row>
    <row r="46" spans="1:26" s="24" customFormat="1" hidden="1" outlineLevel="2" x14ac:dyDescent="0.25">
      <c r="A46" s="27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87.97</v>
      </c>
      <c r="Q46" s="2"/>
      <c r="R46" s="6">
        <f t="shared" si="32"/>
        <v>1.8302500786963841E-3</v>
      </c>
      <c r="S46" s="2"/>
      <c r="T46" s="7"/>
      <c r="U46" s="2"/>
      <c r="V46" s="6">
        <f t="shared" si="33"/>
        <v>0</v>
      </c>
      <c r="W46" s="2"/>
      <c r="X46" s="7">
        <f t="shared" si="34"/>
        <v>87.97</v>
      </c>
      <c r="Y46" s="2"/>
      <c r="Z46" s="6">
        <f t="shared" si="35"/>
        <v>0</v>
      </c>
    </row>
    <row r="47" spans="1:26" s="28" customFormat="1" outlineLevel="1" collapsed="1" x14ac:dyDescent="0.25">
      <c r="A47" s="29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-7.31</v>
      </c>
      <c r="E47" s="1"/>
      <c r="F47" s="5">
        <f t="shared" si="28"/>
        <v>-2.8750641088166537E-4</v>
      </c>
      <c r="G47" s="1"/>
      <c r="H47" s="1">
        <f>SUM(OSRRefH22_3x_0)</f>
        <v>0</v>
      </c>
      <c r="I47" s="1"/>
      <c r="J47" s="5">
        <f t="shared" si="29"/>
        <v>0</v>
      </c>
      <c r="K47" s="1"/>
      <c r="L47" s="1">
        <f t="shared" si="30"/>
        <v>-7.31</v>
      </c>
      <c r="M47" s="1"/>
      <c r="N47" s="5">
        <f t="shared" si="31"/>
        <v>0</v>
      </c>
      <c r="O47" s="14"/>
      <c r="P47" s="1">
        <f>SUM(OSRRefP22_3x_0)</f>
        <v>7.18</v>
      </c>
      <c r="Q47" s="1"/>
      <c r="R47" s="5">
        <f t="shared" si="32"/>
        <v>1.4938269370285367E-4</v>
      </c>
      <c r="S47" s="1"/>
      <c r="T47" s="1">
        <f>SUM(OSRRefT22_3x_0)</f>
        <v>0</v>
      </c>
      <c r="U47" s="1"/>
      <c r="V47" s="5">
        <f t="shared" si="33"/>
        <v>0</v>
      </c>
      <c r="W47" s="1"/>
      <c r="X47" s="1">
        <f t="shared" si="34"/>
        <v>7.18</v>
      </c>
      <c r="Y47" s="1"/>
      <c r="Z47" s="5">
        <f t="shared" si="35"/>
        <v>0</v>
      </c>
    </row>
    <row r="48" spans="1:26" s="24" customFormat="1" hidden="1" outlineLevel="2" x14ac:dyDescent="0.25">
      <c r="A48" s="27"/>
      <c r="B48" s="11" t="str">
        <f>CONCATENATE("          ", "6272", " - ", "CASH (OVER/SHORT)")</f>
        <v xml:space="preserve">          6272 - CASH (OVER/SHORT)</v>
      </c>
      <c r="C48" s="11"/>
      <c r="D48" s="7">
        <v>-7.31</v>
      </c>
      <c r="E48" s="2"/>
      <c r="F48" s="6">
        <f t="shared" si="28"/>
        <v>-2.8750641088166537E-4</v>
      </c>
      <c r="G48" s="2"/>
      <c r="H48" s="7">
        <v>0</v>
      </c>
      <c r="I48" s="2"/>
      <c r="J48" s="6">
        <f t="shared" si="29"/>
        <v>0</v>
      </c>
      <c r="K48" s="2"/>
      <c r="L48" s="7">
        <f t="shared" si="30"/>
        <v>-7.31</v>
      </c>
      <c r="M48" s="2"/>
      <c r="N48" s="6">
        <f t="shared" si="31"/>
        <v>0</v>
      </c>
      <c r="O48" s="11"/>
      <c r="P48" s="7">
        <v>7.18</v>
      </c>
      <c r="Q48" s="2"/>
      <c r="R48" s="6">
        <f t="shared" si="32"/>
        <v>1.4938269370285367E-4</v>
      </c>
      <c r="S48" s="2"/>
      <c r="T48" s="7">
        <v>0</v>
      </c>
      <c r="U48" s="2"/>
      <c r="V48" s="6">
        <f t="shared" si="33"/>
        <v>0</v>
      </c>
      <c r="W48" s="2"/>
      <c r="X48" s="7">
        <f t="shared" si="34"/>
        <v>7.18</v>
      </c>
      <c r="Y48" s="2"/>
      <c r="Z48" s="6">
        <f t="shared" si="35"/>
        <v>0</v>
      </c>
    </row>
    <row r="49" spans="1:26" s="28" customFormat="1" outlineLevel="1" collapsed="1" x14ac:dyDescent="0.25">
      <c r="A49" s="29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912.88</v>
      </c>
      <c r="E49" s="1"/>
      <c r="F49" s="5">
        <f t="shared" si="28"/>
        <v>3.5904083770951396E-2</v>
      </c>
      <c r="G49" s="1"/>
      <c r="H49" s="1">
        <f>SUM(OSRRefH22_4x_0)</f>
        <v>1671</v>
      </c>
      <c r="I49" s="1"/>
      <c r="J49" s="5">
        <f t="shared" si="29"/>
        <v>4.5978592851443192E-2</v>
      </c>
      <c r="K49" s="1"/>
      <c r="L49" s="1">
        <f t="shared" si="30"/>
        <v>-758.12</v>
      </c>
      <c r="M49" s="1"/>
      <c r="N49" s="5">
        <f t="shared" si="31"/>
        <v>-0.45369239976062237</v>
      </c>
      <c r="O49" s="14"/>
      <c r="P49" s="1">
        <f>SUM(OSRRefP22_4x_0)</f>
        <v>2001.79</v>
      </c>
      <c r="Q49" s="1"/>
      <c r="R49" s="5">
        <f t="shared" si="32"/>
        <v>4.1648019836690177E-2</v>
      </c>
      <c r="S49" s="1"/>
      <c r="T49" s="1">
        <f>SUM(OSRRefT22_4x_0)</f>
        <v>3174</v>
      </c>
      <c r="U49" s="1"/>
      <c r="V49" s="5">
        <f t="shared" si="33"/>
        <v>4.3966699450069952E-2</v>
      </c>
      <c r="W49" s="1"/>
      <c r="X49" s="1">
        <f t="shared" si="34"/>
        <v>-1172.21</v>
      </c>
      <c r="Y49" s="1"/>
      <c r="Z49" s="5">
        <f t="shared" si="35"/>
        <v>-0.36931632010081916</v>
      </c>
    </row>
    <row r="50" spans="1:26" s="24" customFormat="1" hidden="1" outlineLevel="2" x14ac:dyDescent="0.25">
      <c r="A50" s="27"/>
      <c r="B50" s="11" t="str">
        <f>CONCATENATE("          ", "6381", " - ", "BANK/CREDIT CARD FEES")</f>
        <v xml:space="preserve">          6381 - BANK/CREDIT CARD FEES</v>
      </c>
      <c r="C50" s="11"/>
      <c r="D50" s="7">
        <v>912.88</v>
      </c>
      <c r="E50" s="2"/>
      <c r="F50" s="6">
        <f t="shared" si="28"/>
        <v>3.5904083770951396E-2</v>
      </c>
      <c r="G50" s="2"/>
      <c r="H50" s="7">
        <v>1671</v>
      </c>
      <c r="I50" s="2"/>
      <c r="J50" s="6">
        <f t="shared" si="29"/>
        <v>4.5978592851443192E-2</v>
      </c>
      <c r="K50" s="2"/>
      <c r="L50" s="7">
        <f t="shared" si="30"/>
        <v>-758.12</v>
      </c>
      <c r="M50" s="2"/>
      <c r="N50" s="6">
        <f t="shared" si="31"/>
        <v>-0.45369239976062237</v>
      </c>
      <c r="O50" s="11"/>
      <c r="P50" s="7">
        <v>2001.79</v>
      </c>
      <c r="Q50" s="2"/>
      <c r="R50" s="6">
        <f t="shared" si="32"/>
        <v>4.1648019836690177E-2</v>
      </c>
      <c r="S50" s="2"/>
      <c r="T50" s="7">
        <v>3174</v>
      </c>
      <c r="U50" s="2"/>
      <c r="V50" s="6">
        <f t="shared" si="33"/>
        <v>4.3966699450069952E-2</v>
      </c>
      <c r="W50" s="2"/>
      <c r="X50" s="7">
        <f t="shared" si="34"/>
        <v>-1172.21</v>
      </c>
      <c r="Y50" s="2"/>
      <c r="Z50" s="6">
        <f t="shared" si="35"/>
        <v>-0.36931632010081916</v>
      </c>
    </row>
    <row r="51" spans="1:26" s="28" customFormat="1" outlineLevel="1" collapsed="1" x14ac:dyDescent="0.25">
      <c r="A51" s="29"/>
      <c r="B51" s="14" t="str">
        <f>CONCATENATE("     ","Depreciation                                      ")</f>
        <v xml:space="preserve">     Depreciation                                      </v>
      </c>
      <c r="C51" s="14"/>
      <c r="D51" s="1">
        <f>SUM(OSRRefD22_5x_0)</f>
        <v>5471.21</v>
      </c>
      <c r="E51" s="1"/>
      <c r="F51" s="5">
        <f t="shared" si="28"/>
        <v>0.2151857661121582</v>
      </c>
      <c r="G51" s="1"/>
      <c r="H51" s="1">
        <f>SUM(OSRRefH22_5x_0)</f>
        <v>5471</v>
      </c>
      <c r="I51" s="1"/>
      <c r="J51" s="5">
        <f t="shared" si="29"/>
        <v>0.1505379302754313</v>
      </c>
      <c r="K51" s="1"/>
      <c r="L51" s="1">
        <f t="shared" si="30"/>
        <v>0.21000000000003638</v>
      </c>
      <c r="M51" s="1"/>
      <c r="N51" s="5">
        <f t="shared" si="31"/>
        <v>3.8384207640291792E-5</v>
      </c>
      <c r="O51" s="14"/>
      <c r="P51" s="1">
        <f>SUM(OSRRefP22_5x_0)</f>
        <v>21884.84</v>
      </c>
      <c r="Q51" s="1"/>
      <c r="R51" s="5">
        <f t="shared" si="32"/>
        <v>0.45532261148411707</v>
      </c>
      <c r="S51" s="1"/>
      <c r="T51" s="1">
        <f>SUM(OSRRefT22_5x_0)</f>
        <v>21884</v>
      </c>
      <c r="U51" s="1"/>
      <c r="V51" s="5">
        <f t="shared" si="33"/>
        <v>0.30314028064440168</v>
      </c>
      <c r="W51" s="1"/>
      <c r="X51" s="1">
        <f t="shared" si="34"/>
        <v>0.84000000000014552</v>
      </c>
      <c r="Y51" s="1"/>
      <c r="Z51" s="5">
        <f t="shared" si="35"/>
        <v>3.8384207640291792E-5</v>
      </c>
    </row>
    <row r="52" spans="1:26" s="24" customFormat="1" hidden="1" outlineLevel="2" x14ac:dyDescent="0.25">
      <c r="A52" s="27"/>
      <c r="B52" s="11" t="str">
        <f>CONCATENATE("          ", "6321", " - ", "BUILDING DEPRECIATION")</f>
        <v xml:space="preserve">          6321 - BUILDING DEPRECIATION</v>
      </c>
      <c r="C52" s="11"/>
      <c r="D52" s="7">
        <v>5080.51</v>
      </c>
      <c r="E52" s="2"/>
      <c r="F52" s="6">
        <f t="shared" si="28"/>
        <v>0.1998193153964993</v>
      </c>
      <c r="G52" s="2"/>
      <c r="H52" s="7"/>
      <c r="I52" s="2"/>
      <c r="J52" s="6">
        <f t="shared" si="29"/>
        <v>0</v>
      </c>
      <c r="K52" s="2"/>
      <c r="L52" s="7">
        <f t="shared" si="30"/>
        <v>5080.51</v>
      </c>
      <c r="M52" s="2"/>
      <c r="N52" s="6">
        <f t="shared" si="31"/>
        <v>0</v>
      </c>
      <c r="O52" s="11"/>
      <c r="P52" s="7">
        <v>20322.04</v>
      </c>
      <c r="Q52" s="2"/>
      <c r="R52" s="6">
        <f t="shared" si="32"/>
        <v>0.42280794940628702</v>
      </c>
      <c r="S52" s="2"/>
      <c r="T52" s="7"/>
      <c r="U52" s="2"/>
      <c r="V52" s="6">
        <f t="shared" si="33"/>
        <v>0</v>
      </c>
      <c r="W52" s="2"/>
      <c r="X52" s="7">
        <f t="shared" si="34"/>
        <v>20322.04</v>
      </c>
      <c r="Y52" s="2"/>
      <c r="Z52" s="6">
        <f t="shared" si="35"/>
        <v>0</v>
      </c>
    </row>
    <row r="53" spans="1:26" s="24" customFormat="1" hidden="1" outlineLevel="2" x14ac:dyDescent="0.25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390.7</v>
      </c>
      <c r="E53" s="2"/>
      <c r="F53" s="6">
        <f t="shared" si="28"/>
        <v>1.5366450715658914E-2</v>
      </c>
      <c r="G53" s="2"/>
      <c r="H53" s="7">
        <v>5471</v>
      </c>
      <c r="I53" s="2"/>
      <c r="J53" s="6">
        <f t="shared" si="29"/>
        <v>0.1505379302754313</v>
      </c>
      <c r="K53" s="2"/>
      <c r="L53" s="7">
        <f t="shared" si="30"/>
        <v>-5080.3</v>
      </c>
      <c r="M53" s="2"/>
      <c r="N53" s="6">
        <f t="shared" si="31"/>
        <v>-0.92858709559495523</v>
      </c>
      <c r="O53" s="11"/>
      <c r="P53" s="7">
        <v>1562.8</v>
      </c>
      <c r="Q53" s="2"/>
      <c r="R53" s="6">
        <f t="shared" si="32"/>
        <v>3.2514662077830048E-2</v>
      </c>
      <c r="S53" s="2"/>
      <c r="T53" s="7">
        <v>21884</v>
      </c>
      <c r="U53" s="2"/>
      <c r="V53" s="6">
        <f t="shared" si="33"/>
        <v>0.30314028064440168</v>
      </c>
      <c r="W53" s="2"/>
      <c r="X53" s="7">
        <f t="shared" si="34"/>
        <v>-20321.2</v>
      </c>
      <c r="Y53" s="2"/>
      <c r="Z53" s="6">
        <f t="shared" si="35"/>
        <v>-0.92858709559495523</v>
      </c>
    </row>
    <row r="54" spans="1:26" s="28" customFormat="1" outlineLevel="1" collapsed="1" x14ac:dyDescent="0.25">
      <c r="A54" s="29"/>
      <c r="B54" s="14" t="str">
        <f>CONCATENATE("     ","Equipment Rental                                  ")</f>
        <v xml:space="preserve">     Equipment Rental                                  </v>
      </c>
      <c r="C54" s="14"/>
      <c r="D54" s="1">
        <f>SUM(OSRRefD22_6x_0)</f>
        <v>0</v>
      </c>
      <c r="E54" s="1"/>
      <c r="F54" s="5">
        <f t="shared" ref="F54:F65" si="36">IF(D$12=0,0,D54/D$12)</f>
        <v>0</v>
      </c>
      <c r="G54" s="1"/>
      <c r="H54" s="1">
        <f>SUM(OSRRefH22_6x_0)</f>
        <v>176</v>
      </c>
      <c r="I54" s="1"/>
      <c r="J54" s="5">
        <f t="shared" ref="J54:J65" si="37">IF(H$12=0,0,H54/H$12)</f>
        <v>4.8427482596373438E-3</v>
      </c>
      <c r="K54" s="1"/>
      <c r="L54" s="1">
        <f t="shared" ref="L54:L65" si="38">+D54-H54</f>
        <v>-176</v>
      </c>
      <c r="M54" s="1"/>
      <c r="N54" s="5">
        <f t="shared" ref="N54:N65" si="39">IF(H54=0,0,L54/H54)</f>
        <v>-1</v>
      </c>
      <c r="O54" s="14"/>
      <c r="P54" s="1">
        <f>SUM(OSRRefP22_6x_0)</f>
        <v>0</v>
      </c>
      <c r="Q54" s="1"/>
      <c r="R54" s="5">
        <f t="shared" ref="R54:R65" si="40">IF(P$12=0,0,P54/P$12)</f>
        <v>0</v>
      </c>
      <c r="S54" s="1"/>
      <c r="T54" s="1">
        <f>SUM(OSRRefT22_6x_0)</f>
        <v>704</v>
      </c>
      <c r="U54" s="1"/>
      <c r="V54" s="5">
        <f t="shared" ref="V54:V65" si="41">IF(T$12=0,0,T54/T$12)</f>
        <v>9.751908132592706E-3</v>
      </c>
      <c r="W54" s="1"/>
      <c r="X54" s="1">
        <f t="shared" ref="X54:X65" si="42">+P54-T54</f>
        <v>-704</v>
      </c>
      <c r="Y54" s="1"/>
      <c r="Z54" s="5">
        <f t="shared" ref="Z54:Z65" si="43">IF(T54=0,0,X54/T54)</f>
        <v>-1</v>
      </c>
    </row>
    <row r="55" spans="1:26" s="24" customFormat="1" hidden="1" outlineLevel="2" x14ac:dyDescent="0.25">
      <c r="A55" s="27"/>
      <c r="B55" s="11" t="str">
        <f>CONCATENATE("          ", "6351", " - ", "EQUIPMENT RENTAL")</f>
        <v xml:space="preserve">          6351 - EQUIPMENT RENTAL</v>
      </c>
      <c r="C55" s="11"/>
      <c r="D55" s="7"/>
      <c r="E55" s="2"/>
      <c r="F55" s="6">
        <f t="shared" si="36"/>
        <v>0</v>
      </c>
      <c r="G55" s="2"/>
      <c r="H55" s="7">
        <v>176</v>
      </c>
      <c r="I55" s="2"/>
      <c r="J55" s="6">
        <f t="shared" si="37"/>
        <v>4.8427482596373438E-3</v>
      </c>
      <c r="K55" s="2"/>
      <c r="L55" s="7">
        <f t="shared" si="38"/>
        <v>-176</v>
      </c>
      <c r="M55" s="2"/>
      <c r="N55" s="6">
        <f t="shared" si="39"/>
        <v>-1</v>
      </c>
      <c r="O55" s="11"/>
      <c r="P55" s="7"/>
      <c r="Q55" s="2"/>
      <c r="R55" s="6">
        <f t="shared" si="40"/>
        <v>0</v>
      </c>
      <c r="S55" s="2"/>
      <c r="T55" s="7">
        <v>704</v>
      </c>
      <c r="U55" s="2"/>
      <c r="V55" s="6">
        <f t="shared" si="41"/>
        <v>9.751908132592706E-3</v>
      </c>
      <c r="W55" s="2"/>
      <c r="X55" s="7">
        <f t="shared" si="42"/>
        <v>-704</v>
      </c>
      <c r="Y55" s="2"/>
      <c r="Z55" s="6">
        <f t="shared" si="43"/>
        <v>-1</v>
      </c>
    </row>
    <row r="56" spans="1:26" s="28" customFormat="1" outlineLevel="1" collapsed="1" x14ac:dyDescent="0.25">
      <c r="A56" s="29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SUM(OSRRefD22_7x_0)</f>
        <v>0</v>
      </c>
      <c r="E56" s="1"/>
      <c r="F56" s="5">
        <f t="shared" si="36"/>
        <v>0</v>
      </c>
      <c r="G56" s="1"/>
      <c r="H56" s="1">
        <f>SUM(OSRRefH22_7x_0)</f>
        <v>0</v>
      </c>
      <c r="I56" s="1"/>
      <c r="J56" s="5">
        <f t="shared" si="37"/>
        <v>0</v>
      </c>
      <c r="K56" s="1"/>
      <c r="L56" s="1">
        <f t="shared" si="38"/>
        <v>0</v>
      </c>
      <c r="M56" s="1"/>
      <c r="N56" s="5">
        <f t="shared" si="39"/>
        <v>0</v>
      </c>
      <c r="O56" s="14"/>
      <c r="P56" s="1">
        <f>SUM(OSRRefP22_7x_0)</f>
        <v>842.45</v>
      </c>
      <c r="Q56" s="1"/>
      <c r="R56" s="5">
        <f t="shared" si="40"/>
        <v>1.7527500043171183E-2</v>
      </c>
      <c r="S56" s="1"/>
      <c r="T56" s="1">
        <f>SUM(OSRRefT22_7x_0)</f>
        <v>0</v>
      </c>
      <c r="U56" s="1"/>
      <c r="V56" s="5">
        <f t="shared" si="41"/>
        <v>0</v>
      </c>
      <c r="W56" s="1"/>
      <c r="X56" s="1">
        <f t="shared" si="42"/>
        <v>842.45</v>
      </c>
      <c r="Y56" s="1"/>
      <c r="Z56" s="5">
        <f t="shared" si="43"/>
        <v>0</v>
      </c>
    </row>
    <row r="57" spans="1:26" s="24" customFormat="1" hidden="1" outlineLevel="2" x14ac:dyDescent="0.25">
      <c r="A57" s="27"/>
      <c r="B57" s="11" t="str">
        <f>CONCATENATE("          ", "6279", " - ", "GENERAL EXPENSE")</f>
        <v xml:space="preserve">          6279 - GENERAL EXPENSE</v>
      </c>
      <c r="C57" s="11"/>
      <c r="D57" s="7"/>
      <c r="E57" s="2"/>
      <c r="F57" s="6">
        <f t="shared" si="36"/>
        <v>0</v>
      </c>
      <c r="G57" s="2"/>
      <c r="H57" s="7"/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>
        <v>842.45</v>
      </c>
      <c r="Q57" s="2"/>
      <c r="R57" s="6">
        <f t="shared" si="40"/>
        <v>1.7527500043171183E-2</v>
      </c>
      <c r="S57" s="2"/>
      <c r="T57" s="7"/>
      <c r="U57" s="2"/>
      <c r="V57" s="6">
        <f t="shared" si="41"/>
        <v>0</v>
      </c>
      <c r="W57" s="2"/>
      <c r="X57" s="7">
        <f t="shared" si="42"/>
        <v>842.45</v>
      </c>
      <c r="Y57" s="2"/>
      <c r="Z57" s="6">
        <f t="shared" si="43"/>
        <v>0</v>
      </c>
    </row>
    <row r="58" spans="1:26" s="28" customFormat="1" outlineLevel="1" collapsed="1" x14ac:dyDescent="0.25">
      <c r="A58" s="29"/>
      <c r="B58" s="14" t="str">
        <f>CONCATENATE("     ","Insurance                                         ")</f>
        <v xml:space="preserve">     Insurance                                         </v>
      </c>
      <c r="C58" s="14"/>
      <c r="D58" s="1">
        <f>SUM(OSRRefD22_8x_0)</f>
        <v>331.01</v>
      </c>
      <c r="E58" s="1"/>
      <c r="F58" s="5">
        <f t="shared" si="36"/>
        <v>1.3018809448145015E-2</v>
      </c>
      <c r="G58" s="1"/>
      <c r="H58" s="1">
        <f>SUM(OSRRefH22_8x_0)</f>
        <v>330</v>
      </c>
      <c r="I58" s="1"/>
      <c r="J58" s="5">
        <f t="shared" si="37"/>
        <v>9.0801529868200209E-3</v>
      </c>
      <c r="K58" s="1"/>
      <c r="L58" s="1">
        <f t="shared" si="38"/>
        <v>1.0099999999999909</v>
      </c>
      <c r="M58" s="1"/>
      <c r="N58" s="5">
        <f t="shared" si="39"/>
        <v>3.0606060606060332E-3</v>
      </c>
      <c r="O58" s="14"/>
      <c r="P58" s="1">
        <f>SUM(OSRRefP22_8x_0)</f>
        <v>1324.04</v>
      </c>
      <c r="Q58" s="1"/>
      <c r="R58" s="5">
        <f t="shared" si="40"/>
        <v>2.7547167377482782E-2</v>
      </c>
      <c r="S58" s="1"/>
      <c r="T58" s="1">
        <f>SUM(OSRRefT22_8x_0)</f>
        <v>1320</v>
      </c>
      <c r="U58" s="1"/>
      <c r="V58" s="5">
        <f t="shared" si="41"/>
        <v>1.8284827748611322E-2</v>
      </c>
      <c r="W58" s="1"/>
      <c r="X58" s="1">
        <f t="shared" si="42"/>
        <v>4.0399999999999636</v>
      </c>
      <c r="Y58" s="1"/>
      <c r="Z58" s="5">
        <f t="shared" si="43"/>
        <v>3.0606060606060332E-3</v>
      </c>
    </row>
    <row r="59" spans="1:26" s="24" customFormat="1" hidden="1" outlineLevel="2" x14ac:dyDescent="0.25">
      <c r="A59" s="27"/>
      <c r="B59" s="11" t="str">
        <f>CONCATENATE("          ", "6314", " - ", "LIABILITY INSURANCE")</f>
        <v xml:space="preserve">          6314 - LIABILITY INSURANCE</v>
      </c>
      <c r="C59" s="11"/>
      <c r="D59" s="7">
        <v>331.01</v>
      </c>
      <c r="E59" s="2"/>
      <c r="F59" s="6">
        <f t="shared" si="36"/>
        <v>1.3018809448145015E-2</v>
      </c>
      <c r="G59" s="2"/>
      <c r="H59" s="7">
        <v>330</v>
      </c>
      <c r="I59" s="2"/>
      <c r="J59" s="6">
        <f t="shared" si="37"/>
        <v>9.0801529868200209E-3</v>
      </c>
      <c r="K59" s="2"/>
      <c r="L59" s="7">
        <f t="shared" si="38"/>
        <v>1.0099999999999909</v>
      </c>
      <c r="M59" s="2"/>
      <c r="N59" s="6">
        <f t="shared" si="39"/>
        <v>3.0606060606060332E-3</v>
      </c>
      <c r="O59" s="11"/>
      <c r="P59" s="7">
        <v>1324.04</v>
      </c>
      <c r="Q59" s="2"/>
      <c r="R59" s="6">
        <f t="shared" si="40"/>
        <v>2.7547167377482782E-2</v>
      </c>
      <c r="S59" s="2"/>
      <c r="T59" s="7">
        <v>1320</v>
      </c>
      <c r="U59" s="2"/>
      <c r="V59" s="6">
        <f t="shared" si="41"/>
        <v>1.8284827748611322E-2</v>
      </c>
      <c r="W59" s="2"/>
      <c r="X59" s="7">
        <f t="shared" si="42"/>
        <v>4.0399999999999636</v>
      </c>
      <c r="Y59" s="2"/>
      <c r="Z59" s="6">
        <f t="shared" si="43"/>
        <v>3.0606060606060332E-3</v>
      </c>
    </row>
    <row r="60" spans="1:26" s="28" customFormat="1" outlineLevel="1" collapsed="1" x14ac:dyDescent="0.25">
      <c r="A60" s="29"/>
      <c r="B60" s="14" t="str">
        <f>CONCATENATE("     ","Interest                                          ")</f>
        <v xml:space="preserve">     Interest                                          </v>
      </c>
      <c r="C60" s="14"/>
      <c r="D60" s="1">
        <f>SUM(OSRRefD22_9x_0)</f>
        <v>3629</v>
      </c>
      <c r="E60" s="1"/>
      <c r="F60" s="5">
        <f t="shared" si="36"/>
        <v>0.14273061081936575</v>
      </c>
      <c r="G60" s="1"/>
      <c r="H60" s="1">
        <f>SUM(OSRRefH22_9x_0)</f>
        <v>3905</v>
      </c>
      <c r="I60" s="1"/>
      <c r="J60" s="5">
        <f t="shared" si="37"/>
        <v>0.10744847701070358</v>
      </c>
      <c r="K60" s="1"/>
      <c r="L60" s="1">
        <f t="shared" si="38"/>
        <v>-276</v>
      </c>
      <c r="M60" s="1"/>
      <c r="N60" s="5">
        <f t="shared" si="39"/>
        <v>-7.0678617157490395E-2</v>
      </c>
      <c r="O60" s="14"/>
      <c r="P60" s="1">
        <f>SUM(OSRRefP22_9x_0)</f>
        <v>15344</v>
      </c>
      <c r="Q60" s="1"/>
      <c r="R60" s="5">
        <f t="shared" si="40"/>
        <v>0.31923789027529065</v>
      </c>
      <c r="S60" s="1"/>
      <c r="T60" s="1">
        <f>SUM(OSRRefT22_9x_0)</f>
        <v>15620</v>
      </c>
      <c r="U60" s="1"/>
      <c r="V60" s="5">
        <f t="shared" si="41"/>
        <v>0.21637046169190066</v>
      </c>
      <c r="W60" s="1"/>
      <c r="X60" s="1">
        <f t="shared" si="42"/>
        <v>-276</v>
      </c>
      <c r="Y60" s="1"/>
      <c r="Z60" s="5">
        <f t="shared" si="43"/>
        <v>-1.7669654289372599E-2</v>
      </c>
    </row>
    <row r="61" spans="1:26" s="24" customFormat="1" hidden="1" outlineLevel="2" x14ac:dyDescent="0.25">
      <c r="A61" s="27"/>
      <c r="B61" s="11" t="str">
        <f>CONCATENATE("          ", "6401", " - ", "INTEREST EXPENSE")</f>
        <v xml:space="preserve">          6401 - INTEREST EXPENSE</v>
      </c>
      <c r="C61" s="11"/>
      <c r="D61" s="7">
        <v>3629</v>
      </c>
      <c r="E61" s="2"/>
      <c r="F61" s="6">
        <f t="shared" si="36"/>
        <v>0.14273061081936575</v>
      </c>
      <c r="G61" s="2"/>
      <c r="H61" s="7">
        <v>3905</v>
      </c>
      <c r="I61" s="2"/>
      <c r="J61" s="6">
        <f t="shared" si="37"/>
        <v>0.10744847701070358</v>
      </c>
      <c r="K61" s="2"/>
      <c r="L61" s="7">
        <f t="shared" si="38"/>
        <v>-276</v>
      </c>
      <c r="M61" s="2"/>
      <c r="N61" s="6">
        <f t="shared" si="39"/>
        <v>-7.0678617157490395E-2</v>
      </c>
      <c r="O61" s="11"/>
      <c r="P61" s="7">
        <v>15344</v>
      </c>
      <c r="Q61" s="2"/>
      <c r="R61" s="6">
        <f t="shared" si="40"/>
        <v>0.31923789027529065</v>
      </c>
      <c r="S61" s="2"/>
      <c r="T61" s="7">
        <v>15620</v>
      </c>
      <c r="U61" s="2"/>
      <c r="V61" s="6">
        <f t="shared" si="41"/>
        <v>0.21637046169190066</v>
      </c>
      <c r="W61" s="2"/>
      <c r="X61" s="7">
        <f t="shared" si="42"/>
        <v>-276</v>
      </c>
      <c r="Y61" s="2"/>
      <c r="Z61" s="6">
        <f t="shared" si="43"/>
        <v>-1.7669654289372599E-2</v>
      </c>
    </row>
    <row r="62" spans="1:26" s="28" customFormat="1" outlineLevel="1" collapsed="1" x14ac:dyDescent="0.25">
      <c r="A62" s="29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SUM(OSRRefD22_10x_0)</f>
        <v>238.26</v>
      </c>
      <c r="E62" s="1"/>
      <c r="F62" s="5">
        <f t="shared" si="36"/>
        <v>9.3708997888735414E-3</v>
      </c>
      <c r="G62" s="1"/>
      <c r="H62" s="1">
        <f>SUM(OSRRefH22_10x_0)</f>
        <v>100</v>
      </c>
      <c r="I62" s="1"/>
      <c r="J62" s="5">
        <f t="shared" si="37"/>
        <v>2.751561511157582E-3</v>
      </c>
      <c r="K62" s="1"/>
      <c r="L62" s="1">
        <f t="shared" si="38"/>
        <v>138.26</v>
      </c>
      <c r="M62" s="1"/>
      <c r="N62" s="5">
        <f t="shared" si="39"/>
        <v>1.3825999999999998</v>
      </c>
      <c r="O62" s="14"/>
      <c r="P62" s="1">
        <f>SUM(OSRRefP22_10x_0)</f>
        <v>2269.0300000000002</v>
      </c>
      <c r="Q62" s="1"/>
      <c r="R62" s="5">
        <f t="shared" si="40"/>
        <v>4.7208052018466035E-2</v>
      </c>
      <c r="S62" s="1"/>
      <c r="T62" s="1">
        <f>SUM(OSRRefT22_10x_0)</f>
        <v>4913</v>
      </c>
      <c r="U62" s="1"/>
      <c r="V62" s="5">
        <f t="shared" si="41"/>
        <v>6.8055574794641985E-2</v>
      </c>
      <c r="W62" s="1"/>
      <c r="X62" s="1">
        <f t="shared" si="42"/>
        <v>-2643.97</v>
      </c>
      <c r="Y62" s="1"/>
      <c r="Z62" s="5">
        <f t="shared" si="43"/>
        <v>-0.5381579483004274</v>
      </c>
    </row>
    <row r="63" spans="1:26" s="24" customFormat="1" hidden="1" outlineLevel="2" x14ac:dyDescent="0.25">
      <c r="A63" s="27"/>
      <c r="B63" s="11" t="str">
        <f>CONCATENATE("          ", "6371", " - ", "COMPUTER SOFTWARE MAINTENANCE")</f>
        <v xml:space="preserve">          6371 - COMPUTER SOFTWARE MAINTENANCE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/>
      <c r="Q63" s="2"/>
      <c r="R63" s="6">
        <f t="shared" si="40"/>
        <v>0</v>
      </c>
      <c r="S63" s="2"/>
      <c r="T63" s="7">
        <v>2623</v>
      </c>
      <c r="U63" s="2"/>
      <c r="V63" s="6">
        <f t="shared" si="41"/>
        <v>3.6334169079248108E-2</v>
      </c>
      <c r="W63" s="2"/>
      <c r="X63" s="7">
        <f t="shared" si="42"/>
        <v>-2623</v>
      </c>
      <c r="Y63" s="2"/>
      <c r="Z63" s="6">
        <f t="shared" si="43"/>
        <v>-1</v>
      </c>
    </row>
    <row r="64" spans="1:26" s="24" customFormat="1" hidden="1" outlineLevel="2" x14ac:dyDescent="0.25">
      <c r="A64" s="27"/>
      <c r="B64" s="11" t="str">
        <f>CONCATENATE("          ", "6373", " - ", "MAINTENANCE CONTRACTS")</f>
        <v xml:space="preserve">          6373 - MAINTENANCE CONTRACTS</v>
      </c>
      <c r="C64" s="11"/>
      <c r="D64" s="7"/>
      <c r="E64" s="2"/>
      <c r="F64" s="6">
        <f t="shared" si="36"/>
        <v>0</v>
      </c>
      <c r="G64" s="2"/>
      <c r="H64" s="7"/>
      <c r="I64" s="2"/>
      <c r="J64" s="6">
        <f t="shared" si="37"/>
        <v>0</v>
      </c>
      <c r="K64" s="2"/>
      <c r="L64" s="7">
        <f t="shared" si="38"/>
        <v>0</v>
      </c>
      <c r="M64" s="2"/>
      <c r="N64" s="6">
        <f t="shared" si="39"/>
        <v>0</v>
      </c>
      <c r="O64" s="11"/>
      <c r="P64" s="7">
        <v>107.78</v>
      </c>
      <c r="Q64" s="2"/>
      <c r="R64" s="6">
        <f t="shared" si="40"/>
        <v>2.2424048366704139E-3</v>
      </c>
      <c r="S64" s="2"/>
      <c r="T64" s="7">
        <v>260</v>
      </c>
      <c r="U64" s="2"/>
      <c r="V64" s="6">
        <f t="shared" si="41"/>
        <v>3.6015569807870788E-3</v>
      </c>
      <c r="W64" s="2"/>
      <c r="X64" s="7">
        <f t="shared" si="42"/>
        <v>-152.22</v>
      </c>
      <c r="Y64" s="2"/>
      <c r="Z64" s="6">
        <f t="shared" si="43"/>
        <v>-0.58546153846153848</v>
      </c>
    </row>
    <row r="65" spans="1:26" s="24" customFormat="1" hidden="1" outlineLevel="2" x14ac:dyDescent="0.25">
      <c r="A65" s="27"/>
      <c r="B65" s="11" t="str">
        <f>CONCATENATE("          ", "6375", " - ", "OUTSIDE REPAIRS &amp; MAINTENANCE")</f>
        <v xml:space="preserve">          6375 - OUTSIDE REPAIRS &amp; MAINTENANCE</v>
      </c>
      <c r="C65" s="11"/>
      <c r="D65" s="7">
        <v>238.26</v>
      </c>
      <c r="E65" s="2"/>
      <c r="F65" s="6">
        <f t="shared" si="36"/>
        <v>9.3708997888735414E-3</v>
      </c>
      <c r="G65" s="2"/>
      <c r="H65" s="7">
        <v>100</v>
      </c>
      <c r="I65" s="2"/>
      <c r="J65" s="6">
        <f t="shared" si="37"/>
        <v>2.751561511157582E-3</v>
      </c>
      <c r="K65" s="2"/>
      <c r="L65" s="7">
        <f t="shared" si="38"/>
        <v>138.26</v>
      </c>
      <c r="M65" s="2"/>
      <c r="N65" s="6">
        <f t="shared" si="39"/>
        <v>1.3825999999999998</v>
      </c>
      <c r="O65" s="11"/>
      <c r="P65" s="7">
        <v>2161.25</v>
      </c>
      <c r="Q65" s="2"/>
      <c r="R65" s="6">
        <f t="shared" si="40"/>
        <v>4.4965647181795618E-2</v>
      </c>
      <c r="S65" s="2"/>
      <c r="T65" s="7">
        <v>2030</v>
      </c>
      <c r="U65" s="2"/>
      <c r="V65" s="6">
        <f t="shared" si="41"/>
        <v>2.8119848734606805E-2</v>
      </c>
      <c r="W65" s="2"/>
      <c r="X65" s="7">
        <f t="shared" si="42"/>
        <v>131.25</v>
      </c>
      <c r="Y65" s="2"/>
      <c r="Z65" s="6">
        <f t="shared" si="43"/>
        <v>6.4655172413793108E-2</v>
      </c>
    </row>
    <row r="66" spans="1:26" s="28" customFormat="1" outlineLevel="1" collapsed="1" x14ac:dyDescent="0.25">
      <c r="A66" s="29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SUM(OSRRefD22_11x_0)</f>
        <v>440.68</v>
      </c>
      <c r="E66" s="1"/>
      <c r="F66" s="5">
        <f t="shared" ref="F66:F69" si="44">IF(D$12=0,0,D66/D$12)</f>
        <v>1.7332192222617279E-2</v>
      </c>
      <c r="G66" s="1"/>
      <c r="H66" s="1">
        <f>SUM(OSRRefH22_11x_0)</f>
        <v>192</v>
      </c>
      <c r="I66" s="1"/>
      <c r="J66" s="5">
        <f t="shared" ref="J66:J69" si="45">IF(H$12=0,0,H66/H$12)</f>
        <v>5.2829981014225575E-3</v>
      </c>
      <c r="K66" s="1"/>
      <c r="L66" s="1">
        <f t="shared" ref="L66:L69" si="46">+D66-H66</f>
        <v>248.68</v>
      </c>
      <c r="M66" s="1"/>
      <c r="N66" s="5">
        <f t="shared" ref="N66:N69" si="47">IF(H66=0,0,L66/H66)</f>
        <v>1.2952083333333333</v>
      </c>
      <c r="O66" s="14"/>
      <c r="P66" s="1">
        <f>SUM(OSRRefP22_11x_0)</f>
        <v>8110.880000000001</v>
      </c>
      <c r="Q66" s="1"/>
      <c r="R66" s="5">
        <f t="shared" ref="R66:R69" si="48">IF(P$12=0,0,P66/P$12)</f>
        <v>0.16875001430370501</v>
      </c>
      <c r="S66" s="1"/>
      <c r="T66" s="1">
        <f>SUM(OSRRefT22_11x_0)</f>
        <v>585</v>
      </c>
      <c r="U66" s="1"/>
      <c r="V66" s="5">
        <f t="shared" ref="V66:V69" si="49">IF(T$12=0,0,T66/T$12)</f>
        <v>8.1035032067709265E-3</v>
      </c>
      <c r="W66" s="1"/>
      <c r="X66" s="1">
        <f t="shared" ref="X66:X69" si="50">+P66-T66</f>
        <v>7525.880000000001</v>
      </c>
      <c r="Y66" s="1"/>
      <c r="Z66" s="5">
        <f t="shared" ref="Z66:Z69" si="51">IF(T66=0,0,X66/T66)</f>
        <v>12.864752136752138</v>
      </c>
    </row>
    <row r="67" spans="1:26" s="24" customFormat="1" hidden="1" outlineLevel="2" x14ac:dyDescent="0.25">
      <c r="A67" s="27"/>
      <c r="B67" s="11" t="str">
        <f>CONCATENATE("          ", "6282", " - ", "JANITORIAL/EXTERMINATOR EXPENS")</f>
        <v xml:space="preserve">          6282 - JANITORIAL/EXTERMINATOR EXPENS</v>
      </c>
      <c r="C67" s="11"/>
      <c r="D67" s="7">
        <v>336.8</v>
      </c>
      <c r="E67" s="2"/>
      <c r="F67" s="6">
        <f t="shared" si="44"/>
        <v>1.324653340423323E-2</v>
      </c>
      <c r="G67" s="2"/>
      <c r="H67" s="7">
        <v>158</v>
      </c>
      <c r="I67" s="2"/>
      <c r="J67" s="6">
        <f t="shared" si="45"/>
        <v>4.347467187628979E-3</v>
      </c>
      <c r="K67" s="2"/>
      <c r="L67" s="7">
        <f t="shared" si="46"/>
        <v>178.8</v>
      </c>
      <c r="M67" s="2"/>
      <c r="N67" s="6">
        <f t="shared" si="47"/>
        <v>1.1316455696202532</v>
      </c>
      <c r="O67" s="11"/>
      <c r="P67" s="7">
        <v>673.6</v>
      </c>
      <c r="Q67" s="2"/>
      <c r="R67" s="6">
        <f t="shared" si="48"/>
        <v>1.4014510094462708E-2</v>
      </c>
      <c r="S67" s="2"/>
      <c r="T67" s="7">
        <v>474</v>
      </c>
      <c r="U67" s="2"/>
      <c r="V67" s="6">
        <f t="shared" si="49"/>
        <v>6.5659154188195202E-3</v>
      </c>
      <c r="W67" s="2"/>
      <c r="X67" s="7">
        <f t="shared" si="50"/>
        <v>199.60000000000002</v>
      </c>
      <c r="Y67" s="2"/>
      <c r="Z67" s="6">
        <f t="shared" si="51"/>
        <v>0.42109704641350215</v>
      </c>
    </row>
    <row r="68" spans="1:26" s="24" customFormat="1" hidden="1" outlineLevel="2" x14ac:dyDescent="0.25">
      <c r="A68" s="27"/>
      <c r="B68" s="11" t="str">
        <f>CONCATENATE("          ", "6285", " - ", "JANITORIAL SERVICES")</f>
        <v xml:space="preserve">          6285 - JANITORIAL SERVICES</v>
      </c>
      <c r="C68" s="11"/>
      <c r="D68" s="7"/>
      <c r="E68" s="2"/>
      <c r="F68" s="6">
        <f t="shared" si="44"/>
        <v>0</v>
      </c>
      <c r="G68" s="2"/>
      <c r="H68" s="7"/>
      <c r="I68" s="2"/>
      <c r="J68" s="6">
        <f t="shared" si="45"/>
        <v>0</v>
      </c>
      <c r="K68" s="2"/>
      <c r="L68" s="7">
        <f t="shared" si="46"/>
        <v>0</v>
      </c>
      <c r="M68" s="2"/>
      <c r="N68" s="6">
        <f t="shared" si="47"/>
        <v>0</v>
      </c>
      <c r="O68" s="11"/>
      <c r="P68" s="7">
        <v>7229.52</v>
      </c>
      <c r="Q68" s="2"/>
      <c r="R68" s="6">
        <f t="shared" si="48"/>
        <v>0.15041297657084329</v>
      </c>
      <c r="S68" s="2"/>
      <c r="T68" s="7"/>
      <c r="U68" s="2"/>
      <c r="V68" s="6">
        <f t="shared" si="49"/>
        <v>0</v>
      </c>
      <c r="W68" s="2"/>
      <c r="X68" s="7">
        <f t="shared" si="50"/>
        <v>7229.52</v>
      </c>
      <c r="Y68" s="2"/>
      <c r="Z68" s="6">
        <f t="shared" si="51"/>
        <v>0</v>
      </c>
    </row>
    <row r="69" spans="1:26" s="24" customFormat="1" hidden="1" outlineLevel="2" x14ac:dyDescent="0.25">
      <c r="A69" s="27"/>
      <c r="B69" s="11" t="str">
        <f>CONCATENATE("          ", "6286", " - ", "LAUNDRY EXPENSE")</f>
        <v xml:space="preserve">          6286 - LAUNDRY EXPENSE</v>
      </c>
      <c r="C69" s="11"/>
      <c r="D69" s="7">
        <v>103.88</v>
      </c>
      <c r="E69" s="2"/>
      <c r="F69" s="6">
        <f t="shared" si="44"/>
        <v>4.0856588183840487E-3</v>
      </c>
      <c r="G69" s="2"/>
      <c r="H69" s="7">
        <v>34</v>
      </c>
      <c r="I69" s="2"/>
      <c r="J69" s="6">
        <f t="shared" si="45"/>
        <v>9.3553091379357787E-4</v>
      </c>
      <c r="K69" s="2"/>
      <c r="L69" s="7">
        <f t="shared" si="46"/>
        <v>69.88</v>
      </c>
      <c r="M69" s="2"/>
      <c r="N69" s="6">
        <f t="shared" si="47"/>
        <v>2.0552941176470587</v>
      </c>
      <c r="O69" s="11"/>
      <c r="P69" s="7">
        <v>207.76</v>
      </c>
      <c r="Q69" s="2"/>
      <c r="R69" s="6">
        <f t="shared" si="48"/>
        <v>4.3225276383990086E-3</v>
      </c>
      <c r="S69" s="2"/>
      <c r="T69" s="7">
        <v>111</v>
      </c>
      <c r="U69" s="2"/>
      <c r="V69" s="6">
        <f t="shared" si="49"/>
        <v>1.5375877879514066E-3</v>
      </c>
      <c r="W69" s="2"/>
      <c r="X69" s="7">
        <f t="shared" si="50"/>
        <v>96.759999999999991</v>
      </c>
      <c r="Y69" s="2"/>
      <c r="Z69" s="6">
        <f t="shared" si="51"/>
        <v>0.87171171171171158</v>
      </c>
    </row>
    <row r="70" spans="1:26" s="28" customFormat="1" outlineLevel="1" collapsed="1" x14ac:dyDescent="0.25">
      <c r="A70" s="29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SUM(OSRRefD22_12x_0)</f>
        <v>248.87</v>
      </c>
      <c r="E70" s="1"/>
      <c r="F70" s="5">
        <f t="shared" ref="F70:F75" si="52">IF(D$12=0,0,D70/D$12)</f>
        <v>9.7881970555567799E-3</v>
      </c>
      <c r="G70" s="1"/>
      <c r="H70" s="1">
        <f>SUM(OSRRefH22_12x_0)</f>
        <v>1900</v>
      </c>
      <c r="I70" s="1"/>
      <c r="J70" s="5">
        <f t="shared" ref="J70:J75" si="53">IF(H$12=0,0,H70/H$12)</f>
        <v>5.2279668711994055E-2</v>
      </c>
      <c r="K70" s="1"/>
      <c r="L70" s="1">
        <f t="shared" ref="L70:L75" si="54">+D70-H70</f>
        <v>-1651.13</v>
      </c>
      <c r="M70" s="1"/>
      <c r="N70" s="5">
        <f t="shared" ref="N70:N75" si="55">IF(H70=0,0,L70/H70)</f>
        <v>-0.8690157894736843</v>
      </c>
      <c r="O70" s="14"/>
      <c r="P70" s="1">
        <f>SUM(OSRRefP22_12x_0)</f>
        <v>1225.9299999999998</v>
      </c>
      <c r="Q70" s="1"/>
      <c r="R70" s="5">
        <f t="shared" ref="R70:R75" si="56">IF(P$12=0,0,P70/P$12)</f>
        <v>2.5505950653362034E-2</v>
      </c>
      <c r="S70" s="1"/>
      <c r="T70" s="1">
        <f>SUM(OSRRefT22_12x_0)</f>
        <v>4900</v>
      </c>
      <c r="U70" s="1"/>
      <c r="V70" s="5">
        <f t="shared" ref="V70:V75" si="57">IF(T$12=0,0,T70/T$12)</f>
        <v>6.7875496945602631E-2</v>
      </c>
      <c r="W70" s="1"/>
      <c r="X70" s="1">
        <f t="shared" ref="X70:X75" si="58">+P70-T70</f>
        <v>-3674.07</v>
      </c>
      <c r="Y70" s="1"/>
      <c r="Z70" s="5">
        <f t="shared" ref="Z70:Z75" si="59">IF(T70=0,0,X70/T70)</f>
        <v>-0.74981020408163268</v>
      </c>
    </row>
    <row r="71" spans="1:26" s="24" customFormat="1" hidden="1" outlineLevel="2" x14ac:dyDescent="0.25">
      <c r="A71" s="27"/>
      <c r="B71" s="11" t="str">
        <f>CONCATENATE("          ", "6234", " - ", "EXPENDABLE SUPPLIES &amp; EQUIPMEN")</f>
        <v xml:space="preserve">          6234 - EXPENDABLE SUPPLIES &amp; EQUIPMEN</v>
      </c>
      <c r="C71" s="11"/>
      <c r="D71" s="7"/>
      <c r="E71" s="2"/>
      <c r="F71" s="6">
        <f t="shared" si="52"/>
        <v>0</v>
      </c>
      <c r="G71" s="2"/>
      <c r="H71" s="7">
        <v>50</v>
      </c>
      <c r="I71" s="2"/>
      <c r="J71" s="6">
        <f t="shared" si="53"/>
        <v>1.375780755578791E-3</v>
      </c>
      <c r="K71" s="2"/>
      <c r="L71" s="7">
        <f t="shared" si="54"/>
        <v>-50</v>
      </c>
      <c r="M71" s="2"/>
      <c r="N71" s="6">
        <f t="shared" si="55"/>
        <v>-1</v>
      </c>
      <c r="O71" s="11"/>
      <c r="P71" s="7"/>
      <c r="Q71" s="2"/>
      <c r="R71" s="6">
        <f t="shared" si="56"/>
        <v>0</v>
      </c>
      <c r="S71" s="2"/>
      <c r="T71" s="7">
        <v>300</v>
      </c>
      <c r="U71" s="2"/>
      <c r="V71" s="6">
        <f t="shared" si="57"/>
        <v>4.1556426701389367E-3</v>
      </c>
      <c r="W71" s="2"/>
      <c r="X71" s="7">
        <f t="shared" si="58"/>
        <v>-300</v>
      </c>
      <c r="Y71" s="2"/>
      <c r="Z71" s="6">
        <f t="shared" si="59"/>
        <v>-1</v>
      </c>
    </row>
    <row r="72" spans="1:26" s="24" customFormat="1" hidden="1" outlineLevel="2" x14ac:dyDescent="0.25">
      <c r="A72" s="27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52"/>
        <v>0</v>
      </c>
      <c r="G72" s="2"/>
      <c r="H72" s="7">
        <v>50</v>
      </c>
      <c r="I72" s="2"/>
      <c r="J72" s="6">
        <f t="shared" si="53"/>
        <v>1.375780755578791E-3</v>
      </c>
      <c r="K72" s="2"/>
      <c r="L72" s="7">
        <f t="shared" si="54"/>
        <v>-50</v>
      </c>
      <c r="M72" s="2"/>
      <c r="N72" s="6">
        <f t="shared" si="55"/>
        <v>-1</v>
      </c>
      <c r="O72" s="11"/>
      <c r="P72" s="7">
        <v>488.84</v>
      </c>
      <c r="Q72" s="2"/>
      <c r="R72" s="6">
        <f t="shared" si="56"/>
        <v>1.0170506405251113E-2</v>
      </c>
      <c r="S72" s="2"/>
      <c r="T72" s="7">
        <v>100</v>
      </c>
      <c r="U72" s="2"/>
      <c r="V72" s="6">
        <f t="shared" si="57"/>
        <v>1.3852142233796456E-3</v>
      </c>
      <c r="W72" s="2"/>
      <c r="X72" s="7">
        <f t="shared" si="58"/>
        <v>388.84</v>
      </c>
      <c r="Y72" s="2"/>
      <c r="Z72" s="6">
        <f t="shared" si="59"/>
        <v>3.8883999999999999</v>
      </c>
    </row>
    <row r="73" spans="1:26" s="24" customFormat="1" hidden="1" outlineLevel="2" x14ac:dyDescent="0.25">
      <c r="A73" s="27"/>
      <c r="B73" s="11" t="str">
        <f>CONCATENATE("          ", "6241", " - ", "OFFICE EXPENSE")</f>
        <v xml:space="preserve">          6241 - OFFICE EXPENSE</v>
      </c>
      <c r="C73" s="11"/>
      <c r="D73" s="7">
        <v>42.74</v>
      </c>
      <c r="E73" s="2"/>
      <c r="F73" s="6">
        <f t="shared" si="52"/>
        <v>1.6809882354421859E-3</v>
      </c>
      <c r="G73" s="2"/>
      <c r="H73" s="7"/>
      <c r="I73" s="2"/>
      <c r="J73" s="6">
        <f t="shared" si="53"/>
        <v>0</v>
      </c>
      <c r="K73" s="2"/>
      <c r="L73" s="7">
        <f t="shared" si="54"/>
        <v>42.74</v>
      </c>
      <c r="M73" s="2"/>
      <c r="N73" s="6">
        <f t="shared" si="55"/>
        <v>0</v>
      </c>
      <c r="O73" s="11"/>
      <c r="P73" s="7">
        <v>172.98</v>
      </c>
      <c r="Q73" s="2"/>
      <c r="R73" s="6">
        <f t="shared" si="56"/>
        <v>3.5989162056712575E-3</v>
      </c>
      <c r="S73" s="2"/>
      <c r="T73" s="7"/>
      <c r="U73" s="2"/>
      <c r="V73" s="6">
        <f t="shared" si="57"/>
        <v>0</v>
      </c>
      <c r="W73" s="2"/>
      <c r="X73" s="7">
        <f t="shared" si="58"/>
        <v>172.98</v>
      </c>
      <c r="Y73" s="2"/>
      <c r="Z73" s="6">
        <f t="shared" si="59"/>
        <v>0</v>
      </c>
    </row>
    <row r="74" spans="1:26" s="24" customFormat="1" hidden="1" outlineLevel="2" x14ac:dyDescent="0.25">
      <c r="A74" s="27"/>
      <c r="B74" s="11" t="str">
        <f>CONCATENATE("          ", "6243", " - ", "PAPER SUPPLIES")</f>
        <v xml:space="preserve">          6243 - PAPER SUPPLIES</v>
      </c>
      <c r="C74" s="11"/>
      <c r="D74" s="7"/>
      <c r="E74" s="2"/>
      <c r="F74" s="6">
        <f t="shared" si="52"/>
        <v>0</v>
      </c>
      <c r="G74" s="2"/>
      <c r="H74" s="7">
        <v>200</v>
      </c>
      <c r="I74" s="2"/>
      <c r="J74" s="6">
        <f t="shared" si="53"/>
        <v>5.503123022315164E-3</v>
      </c>
      <c r="K74" s="2"/>
      <c r="L74" s="7">
        <f t="shared" si="54"/>
        <v>-200</v>
      </c>
      <c r="M74" s="2"/>
      <c r="N74" s="6">
        <f t="shared" si="55"/>
        <v>-1</v>
      </c>
      <c r="O74" s="11"/>
      <c r="P74" s="7"/>
      <c r="Q74" s="2"/>
      <c r="R74" s="6">
        <f t="shared" si="56"/>
        <v>0</v>
      </c>
      <c r="S74" s="2"/>
      <c r="T74" s="7">
        <v>600</v>
      </c>
      <c r="U74" s="2"/>
      <c r="V74" s="6">
        <f t="shared" si="57"/>
        <v>8.3112853402778734E-3</v>
      </c>
      <c r="W74" s="2"/>
      <c r="X74" s="7">
        <f t="shared" si="58"/>
        <v>-600</v>
      </c>
      <c r="Y74" s="2"/>
      <c r="Z74" s="6">
        <f t="shared" si="59"/>
        <v>-1</v>
      </c>
    </row>
    <row r="75" spans="1:26" s="24" customFormat="1" hidden="1" outlineLevel="2" x14ac:dyDescent="0.25">
      <c r="A75" s="27"/>
      <c r="B75" s="11" t="str">
        <f>CONCATENATE("          ", "6247", " - ", "STORE SUPPLIES")</f>
        <v xml:space="preserve">          6247 - STORE SUPPLIES</v>
      </c>
      <c r="C75" s="11"/>
      <c r="D75" s="7">
        <v>206.13</v>
      </c>
      <c r="E75" s="2"/>
      <c r="F75" s="6">
        <f t="shared" si="52"/>
        <v>8.1072088201145937E-3</v>
      </c>
      <c r="G75" s="2"/>
      <c r="H75" s="7">
        <v>1600</v>
      </c>
      <c r="I75" s="2"/>
      <c r="J75" s="6">
        <f t="shared" si="53"/>
        <v>4.4024984178521312E-2</v>
      </c>
      <c r="K75" s="2"/>
      <c r="L75" s="7">
        <f t="shared" si="54"/>
        <v>-1393.87</v>
      </c>
      <c r="M75" s="2"/>
      <c r="N75" s="6">
        <f t="shared" si="55"/>
        <v>-0.87116874999999994</v>
      </c>
      <c r="O75" s="11"/>
      <c r="P75" s="7">
        <v>564.11</v>
      </c>
      <c r="Q75" s="2"/>
      <c r="R75" s="6">
        <f t="shared" si="56"/>
        <v>1.1736528042439664E-2</v>
      </c>
      <c r="S75" s="2"/>
      <c r="T75" s="7">
        <v>3900</v>
      </c>
      <c r="U75" s="2"/>
      <c r="V75" s="6">
        <f t="shared" si="57"/>
        <v>5.4023354711806179E-2</v>
      </c>
      <c r="W75" s="2"/>
      <c r="X75" s="7">
        <f t="shared" si="58"/>
        <v>-3335.89</v>
      </c>
      <c r="Y75" s="2"/>
      <c r="Z75" s="6">
        <f t="shared" si="59"/>
        <v>-0.85535641025641018</v>
      </c>
    </row>
    <row r="76" spans="1:26" s="28" customFormat="1" outlineLevel="1" collapsed="1" x14ac:dyDescent="0.25">
      <c r="A76" s="29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SUM(OSRRefD22_13x_0)</f>
        <v>-228</v>
      </c>
      <c r="E76" s="1"/>
      <c r="F76" s="5">
        <f t="shared" ref="F76:F78" si="60">IF(D$12=0,0,D76/D$12)</f>
        <v>-8.9673682190177448E-3</v>
      </c>
      <c r="G76" s="1"/>
      <c r="H76" s="1">
        <f>SUM(OSRRefH22_13x_0)</f>
        <v>125</v>
      </c>
      <c r="I76" s="1"/>
      <c r="J76" s="5">
        <f t="shared" ref="J76:J78" si="61">IF(H$12=0,0,H76/H$12)</f>
        <v>3.4394518889469773E-3</v>
      </c>
      <c r="K76" s="1"/>
      <c r="L76" s="1">
        <f t="shared" ref="L76:L78" si="62">+D76-H76</f>
        <v>-353</v>
      </c>
      <c r="M76" s="1"/>
      <c r="N76" s="5">
        <f t="shared" ref="N76:N78" si="63">IF(H76=0,0,L76/H76)</f>
        <v>-2.8239999999999998</v>
      </c>
      <c r="O76" s="14"/>
      <c r="P76" s="1">
        <f>SUM(OSRRefP22_13x_0)</f>
        <v>195</v>
      </c>
      <c r="Q76" s="1"/>
      <c r="R76" s="5">
        <f t="shared" ref="R76:R78" si="64">IF(P$12=0,0,P76/P$12)</f>
        <v>4.057050873545469E-3</v>
      </c>
      <c r="S76" s="1"/>
      <c r="T76" s="1">
        <f>SUM(OSRRefT22_13x_0)</f>
        <v>500</v>
      </c>
      <c r="U76" s="1"/>
      <c r="V76" s="5">
        <f t="shared" ref="V76:V78" si="65">IF(T$12=0,0,T76/T$12)</f>
        <v>6.9260711168982287E-3</v>
      </c>
      <c r="W76" s="1"/>
      <c r="X76" s="1">
        <f t="shared" ref="X76:X78" si="66">+P76-T76</f>
        <v>-305</v>
      </c>
      <c r="Y76" s="1"/>
      <c r="Z76" s="5">
        <f t="shared" ref="Z76:Z78" si="67">IF(T76=0,0,X76/T76)</f>
        <v>-0.61</v>
      </c>
    </row>
    <row r="77" spans="1:26" s="24" customFormat="1" hidden="1" outlineLevel="2" x14ac:dyDescent="0.25">
      <c r="A77" s="27"/>
      <c r="B77" s="11" t="str">
        <f>CONCATENATE("          ", "6303", " - ", "DATA PHONE LINES")</f>
        <v xml:space="preserve">          6303 - DATA PHONE LINES</v>
      </c>
      <c r="C77" s="11"/>
      <c r="D77" s="7"/>
      <c r="E77" s="2"/>
      <c r="F77" s="6">
        <f t="shared" si="60"/>
        <v>0</v>
      </c>
      <c r="G77" s="2"/>
      <c r="H77" s="7">
        <v>50</v>
      </c>
      <c r="I77" s="2"/>
      <c r="J77" s="6">
        <f t="shared" si="61"/>
        <v>1.375780755578791E-3</v>
      </c>
      <c r="K77" s="2"/>
      <c r="L77" s="7">
        <f t="shared" si="62"/>
        <v>-50</v>
      </c>
      <c r="M77" s="2"/>
      <c r="N77" s="6">
        <f t="shared" si="63"/>
        <v>-1</v>
      </c>
      <c r="O77" s="11"/>
      <c r="P77" s="7"/>
      <c r="Q77" s="2"/>
      <c r="R77" s="6">
        <f t="shared" si="64"/>
        <v>0</v>
      </c>
      <c r="S77" s="2"/>
      <c r="T77" s="7">
        <v>200</v>
      </c>
      <c r="U77" s="2"/>
      <c r="V77" s="6">
        <f t="shared" si="65"/>
        <v>2.7704284467592911E-3</v>
      </c>
      <c r="W77" s="2"/>
      <c r="X77" s="7">
        <f t="shared" si="66"/>
        <v>-200</v>
      </c>
      <c r="Y77" s="2"/>
      <c r="Z77" s="6">
        <f t="shared" si="67"/>
        <v>-1</v>
      </c>
    </row>
    <row r="78" spans="1:26" s="24" customFormat="1" hidden="1" outlineLevel="2" x14ac:dyDescent="0.25">
      <c r="A78" s="27"/>
      <c r="B78" s="11" t="str">
        <f>CONCATENATE("          ", "6309", " - ", "TELEPHONE")</f>
        <v xml:space="preserve">          6309 - TELEPHONE</v>
      </c>
      <c r="C78" s="11"/>
      <c r="D78" s="7">
        <v>-228</v>
      </c>
      <c r="E78" s="2"/>
      <c r="F78" s="6">
        <f t="shared" si="60"/>
        <v>-8.9673682190177448E-3</v>
      </c>
      <c r="G78" s="2"/>
      <c r="H78" s="7">
        <v>75</v>
      </c>
      <c r="I78" s="2"/>
      <c r="J78" s="6">
        <f t="shared" si="61"/>
        <v>2.0636711333681863E-3</v>
      </c>
      <c r="K78" s="2"/>
      <c r="L78" s="7">
        <f t="shared" si="62"/>
        <v>-303</v>
      </c>
      <c r="M78" s="2"/>
      <c r="N78" s="6">
        <f t="shared" si="63"/>
        <v>-4.04</v>
      </c>
      <c r="O78" s="11"/>
      <c r="P78" s="7">
        <v>195</v>
      </c>
      <c r="Q78" s="2"/>
      <c r="R78" s="6">
        <f t="shared" si="64"/>
        <v>4.057050873545469E-3</v>
      </c>
      <c r="S78" s="2"/>
      <c r="T78" s="7">
        <v>300</v>
      </c>
      <c r="U78" s="2"/>
      <c r="V78" s="6">
        <f t="shared" si="65"/>
        <v>4.1556426701389367E-3</v>
      </c>
      <c r="W78" s="2"/>
      <c r="X78" s="7">
        <f t="shared" si="66"/>
        <v>-105</v>
      </c>
      <c r="Y78" s="2"/>
      <c r="Z78" s="6">
        <f t="shared" si="67"/>
        <v>-0.35</v>
      </c>
    </row>
    <row r="79" spans="1:26" s="28" customFormat="1" outlineLevel="1" collapsed="1" x14ac:dyDescent="0.25">
      <c r="A79" s="29"/>
      <c r="B79" s="14" t="str">
        <f>CONCATENATE("     ","Utilities                                         ")</f>
        <v xml:space="preserve">     Utilities                                         </v>
      </c>
      <c r="C79" s="14"/>
      <c r="D79" s="1">
        <f>SUM(OSRRefD22_14x_0)</f>
        <v>100</v>
      </c>
      <c r="E79" s="1"/>
      <c r="F79" s="5">
        <f t="shared" ref="F79:F80" si="68">IF(D$12=0,0,D79/D$12)</f>
        <v>3.9330562364112915E-3</v>
      </c>
      <c r="G79" s="1"/>
      <c r="H79" s="1">
        <f>SUM(OSRRefH22_14x_0)</f>
        <v>0</v>
      </c>
      <c r="I79" s="1"/>
      <c r="J79" s="5">
        <f t="shared" ref="J79:J80" si="69">IF(H$12=0,0,H79/H$12)</f>
        <v>0</v>
      </c>
      <c r="K79" s="1"/>
      <c r="L79" s="1">
        <f t="shared" ref="L79:L80" si="70">+D79-H79</f>
        <v>100</v>
      </c>
      <c r="M79" s="1"/>
      <c r="N79" s="5">
        <f t="shared" ref="N79:N80" si="71">IF(H79=0,0,L79/H79)</f>
        <v>0</v>
      </c>
      <c r="O79" s="14"/>
      <c r="P79" s="1">
        <f>SUM(OSRRefP22_14x_0)</f>
        <v>400</v>
      </c>
      <c r="Q79" s="1"/>
      <c r="R79" s="5">
        <f t="shared" ref="R79:R80" si="72">IF(P$12=0,0,P79/P$12)</f>
        <v>8.3221556380419885E-3</v>
      </c>
      <c r="S79" s="1"/>
      <c r="T79" s="1">
        <f>SUM(OSRRefT22_14x_0)</f>
        <v>0</v>
      </c>
      <c r="U79" s="1"/>
      <c r="V79" s="5">
        <f t="shared" ref="V79:V80" si="73">IF(T$12=0,0,T79/T$12)</f>
        <v>0</v>
      </c>
      <c r="W79" s="1"/>
      <c r="X79" s="1">
        <f t="shared" ref="X79:X80" si="74">+P79-T79</f>
        <v>400</v>
      </c>
      <c r="Y79" s="1"/>
      <c r="Z79" s="5">
        <f t="shared" ref="Z79:Z80" si="75">IF(T79=0,0,X79/T79)</f>
        <v>0</v>
      </c>
    </row>
    <row r="80" spans="1:26" s="24" customFormat="1" hidden="1" outlineLevel="2" x14ac:dyDescent="0.25">
      <c r="A80" s="27"/>
      <c r="B80" s="11" t="str">
        <f>CONCATENATE("          ", "6274", " - ", "UTILITIES")</f>
        <v xml:space="preserve">          6274 - UTILITIES</v>
      </c>
      <c r="C80" s="11"/>
      <c r="D80" s="7">
        <v>100</v>
      </c>
      <c r="E80" s="2"/>
      <c r="F80" s="6">
        <f t="shared" si="68"/>
        <v>3.9330562364112915E-3</v>
      </c>
      <c r="G80" s="2"/>
      <c r="H80" s="7">
        <v>0</v>
      </c>
      <c r="I80" s="2"/>
      <c r="J80" s="6">
        <f t="shared" si="69"/>
        <v>0</v>
      </c>
      <c r="K80" s="2"/>
      <c r="L80" s="7">
        <f t="shared" si="70"/>
        <v>100</v>
      </c>
      <c r="M80" s="2"/>
      <c r="N80" s="6">
        <f t="shared" si="71"/>
        <v>0</v>
      </c>
      <c r="O80" s="11"/>
      <c r="P80" s="7">
        <v>400</v>
      </c>
      <c r="Q80" s="2"/>
      <c r="R80" s="6">
        <f t="shared" si="72"/>
        <v>8.3221556380419885E-3</v>
      </c>
      <c r="S80" s="2"/>
      <c r="T80" s="7">
        <v>0</v>
      </c>
      <c r="U80" s="2"/>
      <c r="V80" s="6">
        <f t="shared" si="73"/>
        <v>0</v>
      </c>
      <c r="W80" s="2"/>
      <c r="X80" s="7">
        <f t="shared" si="74"/>
        <v>400</v>
      </c>
      <c r="Y80" s="2"/>
      <c r="Z80" s="6">
        <f t="shared" si="75"/>
        <v>0</v>
      </c>
    </row>
    <row r="81" spans="1:26" s="60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5" t="s">
        <v>293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6" t="s">
        <v>277</v>
      </c>
      <c r="C84" s="26"/>
      <c r="D84" s="21">
        <f>+D21-D23+D82</f>
        <v>-5021.320000000007</v>
      </c>
      <c r="E84" s="13"/>
      <c r="F84" s="20">
        <f>IF(D$12=0,0,D84/D$12)</f>
        <v>-0.19749133941016772</v>
      </c>
      <c r="G84" s="13"/>
      <c r="H84" s="21">
        <f>+H21-H23+H82</f>
        <v>-15660.285365384618</v>
      </c>
      <c r="I84" s="13"/>
      <c r="J84" s="20">
        <f>IF(H$12=0,0,H84/H$12)</f>
        <v>-0.43090238465136665</v>
      </c>
      <c r="K84" s="15"/>
      <c r="L84" s="21">
        <f>+D84-H84</f>
        <v>10638.965365384611</v>
      </c>
      <c r="M84" s="15"/>
      <c r="N84" s="20">
        <f>IF(H84=0,0,L84/H84)</f>
        <v>-0.67935961045134619</v>
      </c>
      <c r="O84" s="25"/>
      <c r="P84" s="21">
        <f>+P21-P23+P82</f>
        <v>-44460.64999999998</v>
      </c>
      <c r="Q84" s="13"/>
      <c r="R84" s="20">
        <f>IF(P$12=0,0,P84/P$12)</f>
        <v>-0.92502112267127834</v>
      </c>
      <c r="S84" s="13"/>
      <c r="T84" s="21">
        <f>+T21-T23+T82</f>
        <v>-73857.078655384583</v>
      </c>
      <c r="U84" s="13"/>
      <c r="V84" s="20">
        <f>IF(T$12=0,0,T84/T$12)</f>
        <v>-1.0230787585070795</v>
      </c>
      <c r="W84" s="15"/>
      <c r="X84" s="21">
        <f>+P84-T84</f>
        <v>29396.428655384603</v>
      </c>
      <c r="Y84" s="15"/>
      <c r="Z84" s="20">
        <f>IF(T84=0,0,X84/T84)</f>
        <v>-0.3980177552452035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2"/>
      <c r="B86" s="10" t="s">
        <v>128</v>
      </c>
      <c r="C86" s="10"/>
      <c r="D86" s="4">
        <v>2753.71</v>
      </c>
      <c r="E86" s="4"/>
      <c r="F86" s="12">
        <f>IF(D$12=0,0,D86/D$12)</f>
        <v>0.10830496288768136</v>
      </c>
      <c r="G86" s="4"/>
      <c r="H86" s="4">
        <v>4409</v>
      </c>
      <c r="I86" s="4"/>
      <c r="J86" s="12">
        <f>IF(H$12=0,0,H86/H$12)</f>
        <v>0.12131634702693779</v>
      </c>
      <c r="K86" s="4"/>
      <c r="L86" s="4">
        <f>+D86-H86</f>
        <v>-1655.29</v>
      </c>
      <c r="M86" s="4"/>
      <c r="N86" s="12">
        <f>IF(H86=0,0,L86/H86)</f>
        <v>-0.37543433885234745</v>
      </c>
      <c r="O86" s="10"/>
      <c r="P86" s="4">
        <v>5555.86</v>
      </c>
      <c r="Q86" s="4"/>
      <c r="R86" s="12">
        <f>IF(P$12=0,0,P86/P$12)</f>
        <v>0.11559182905792989</v>
      </c>
      <c r="S86" s="4"/>
      <c r="T86" s="4">
        <v>8301</v>
      </c>
      <c r="U86" s="4"/>
      <c r="V86" s="12">
        <f>IF(T$12=0,0,T86/T$12)</f>
        <v>0.11498663268274438</v>
      </c>
      <c r="W86" s="4"/>
      <c r="X86" s="4">
        <f>+P86-T86</f>
        <v>-2745.1400000000003</v>
      </c>
      <c r="Y86" s="4"/>
      <c r="Z86" s="12">
        <f>IF(T86=0,0,X86/T86)</f>
        <v>-0.33069991567281054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6" t="s">
        <v>126</v>
      </c>
      <c r="C88" s="26"/>
      <c r="D88" s="31">
        <f>+D84-D86</f>
        <v>-7775.030000000007</v>
      </c>
      <c r="E88" s="13"/>
      <c r="F88" s="33">
        <f>IF(D$12=0,0,D88/D$12)</f>
        <v>-0.3057963022978491</v>
      </c>
      <c r="G88" s="13"/>
      <c r="H88" s="31">
        <f>+H84-H86</f>
        <v>-20069.285365384618</v>
      </c>
      <c r="I88" s="13"/>
      <c r="J88" s="33">
        <f>IF(H$12=0,0,H88/H$12)</f>
        <v>-0.55221873167830438</v>
      </c>
      <c r="K88" s="15"/>
      <c r="L88" s="31">
        <f>D88-H88</f>
        <v>12294.255365384612</v>
      </c>
      <c r="M88" s="15"/>
      <c r="N88" s="33">
        <f>IF(H88=0,0,L88/H88)</f>
        <v>-0.61259059012582828</v>
      </c>
      <c r="O88" s="25"/>
      <c r="P88" s="31">
        <f>+P84-P86</f>
        <v>-50016.50999999998</v>
      </c>
      <c r="Q88" s="13"/>
      <c r="R88" s="33">
        <f>IF(P$12=0,0,P88/P$12)</f>
        <v>-1.0406129517292082</v>
      </c>
      <c r="S88" s="13"/>
      <c r="T88" s="31">
        <f>+T84-T86</f>
        <v>-82158.078655384583</v>
      </c>
      <c r="U88" s="13"/>
      <c r="V88" s="33">
        <f>IF(T$12=0,0,T88/T$12)</f>
        <v>-1.138065391189824</v>
      </c>
      <c r="W88" s="15"/>
      <c r="X88" s="31">
        <f>P88-T88</f>
        <v>32141.568655384603</v>
      </c>
      <c r="Y88" s="15"/>
      <c r="Z88" s="33">
        <f>IF(T88=0,0,X88/T88)</f>
        <v>-0.39121616743502152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6" t="s">
        <v>294</v>
      </c>
      <c r="C91" s="26"/>
      <c r="D91" s="35">
        <f>SUM(D88:D90)</f>
        <v>-7775.030000000007</v>
      </c>
      <c r="E91" s="13"/>
      <c r="F91" s="32">
        <f>IF(D$12=0,0,D91/D$12)</f>
        <v>-0.3057963022978491</v>
      </c>
      <c r="G91" s="13"/>
      <c r="H91" s="35">
        <f>SUM(H88:H90)</f>
        <v>-20069.285365384618</v>
      </c>
      <c r="I91" s="13"/>
      <c r="J91" s="32">
        <f>IF(H$12=0,0,H91/H$12)</f>
        <v>-0.55221873167830438</v>
      </c>
      <c r="K91" s="15"/>
      <c r="L91" s="35">
        <f>+D91-H91</f>
        <v>12294.255365384612</v>
      </c>
      <c r="M91" s="15"/>
      <c r="N91" s="32">
        <f>IF(H91=0,0,L91/H91)</f>
        <v>-0.61259059012582828</v>
      </c>
      <c r="O91" s="25"/>
      <c r="P91" s="35">
        <f>SUM(P88:P90)</f>
        <v>-50016.50999999998</v>
      </c>
      <c r="Q91" s="13"/>
      <c r="R91" s="32">
        <f>IF(P$12=0,0,P91/P$12)</f>
        <v>-1.0406129517292082</v>
      </c>
      <c r="S91" s="13"/>
      <c r="T91" s="35">
        <f>SUM(T88:T90)</f>
        <v>-82158.078655384583</v>
      </c>
      <c r="U91" s="13"/>
      <c r="V91" s="32">
        <f>IF(T$12=0,0,T91/T$12)</f>
        <v>-1.138065391189824</v>
      </c>
      <c r="W91" s="15"/>
      <c r="X91" s="35">
        <f>+P91-T91</f>
        <v>32141.568655384603</v>
      </c>
      <c r="Y91" s="15"/>
      <c r="Z91" s="32">
        <f>IF(T91=0,0,X91/T91)</f>
        <v>-0.39121616743502152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9">
        <v>44517.962875613426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62" t="s">
        <v>56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7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","327", " - ", "C-Store Vending Machine(s)")</f>
        <v>Department 327 - C-Store Vending Machine(s)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404.53</v>
      </c>
      <c r="E12" s="4"/>
      <c r="F12" s="12"/>
      <c r="G12" s="4"/>
      <c r="H12" s="4">
        <f>SUM(OSRRefH13x_0)</f>
        <v>50</v>
      </c>
      <c r="I12" s="4"/>
      <c r="J12" s="12"/>
      <c r="K12" s="4"/>
      <c r="L12" s="4">
        <f t="shared" ref="L12:L15" si="0">+D12-H12</f>
        <v>354.53</v>
      </c>
      <c r="M12" s="4"/>
      <c r="N12" s="12">
        <f t="shared" ref="N12:N15" si="1">IF(H12=0,0,L12/H12)</f>
        <v>7.0905999999999993</v>
      </c>
      <c r="O12" s="10"/>
      <c r="P12" s="4">
        <f>SUM(OSRRefP13x_0)</f>
        <v>543.62</v>
      </c>
      <c r="Q12" s="4"/>
      <c r="R12" s="12"/>
      <c r="S12" s="4"/>
      <c r="T12" s="4">
        <f>SUM(OSRRefT13x_0)</f>
        <v>125</v>
      </c>
      <c r="U12" s="4"/>
      <c r="V12" s="12"/>
      <c r="W12" s="4"/>
      <c r="X12" s="4">
        <f t="shared" ref="X12:X15" si="2">+P12-T12</f>
        <v>418.62</v>
      </c>
      <c r="Y12" s="4"/>
      <c r="Z12" s="12">
        <f t="shared" ref="Z12:Z15" si="3">IF(T12=0,0,X12/T12)</f>
        <v>3.3489599999999999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50</v>
      </c>
      <c r="I13" s="2"/>
      <c r="J13" s="19"/>
      <c r="K13" s="2"/>
      <c r="L13" s="2">
        <f t="shared" si="0"/>
        <v>-50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125</v>
      </c>
      <c r="U13" s="2"/>
      <c r="V13" s="19"/>
      <c r="W13" s="2"/>
      <c r="X13" s="2">
        <f t="shared" si="2"/>
        <v>-125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--404.53</f>
        <v>404.53</v>
      </c>
      <c r="E14" s="2"/>
      <c r="F14" s="19"/>
      <c r="G14" s="2"/>
      <c r="H14" s="2"/>
      <c r="I14" s="2"/>
      <c r="J14" s="19"/>
      <c r="K14" s="2"/>
      <c r="L14" s="2">
        <f t="shared" si="0"/>
        <v>404.53</v>
      </c>
      <c r="M14" s="2"/>
      <c r="N14" s="19">
        <f t="shared" si="1"/>
        <v>0</v>
      </c>
      <c r="O14" s="11"/>
      <c r="P14" s="2">
        <f>--543.62</f>
        <v>543.62</v>
      </c>
      <c r="Q14" s="2"/>
      <c r="R14" s="19"/>
      <c r="S14" s="2"/>
      <c r="T14" s="2"/>
      <c r="U14" s="2"/>
      <c r="V14" s="19"/>
      <c r="W14" s="2"/>
      <c r="X14" s="2">
        <f t="shared" si="2"/>
        <v>543.62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257</v>
      </c>
      <c r="C17" s="10"/>
      <c r="D17" s="4">
        <f>SUM(OSRRefD16x_0)</f>
        <v>-311</v>
      </c>
      <c r="E17" s="4"/>
      <c r="F17" s="12">
        <f t="shared" ref="F17:F20" si="4">IF(D$12=0,0,D17/D$12)</f>
        <v>-0.76879341457988293</v>
      </c>
      <c r="G17" s="4"/>
      <c r="H17" s="4">
        <f>SUM(OSRRefH16x_0)</f>
        <v>25</v>
      </c>
      <c r="I17" s="4"/>
      <c r="J17" s="12">
        <f t="shared" ref="J17:J20" si="5">IF(H$12=0,0,H17/H$12)</f>
        <v>0.5</v>
      </c>
      <c r="K17" s="4"/>
      <c r="L17" s="4">
        <f t="shared" ref="L17:L20" si="6">+D17-H17</f>
        <v>-336</v>
      </c>
      <c r="M17" s="4"/>
      <c r="N17" s="12">
        <f t="shared" ref="N17:N20" si="7">IF(H17=0,0,L17/H17)</f>
        <v>-13.44</v>
      </c>
      <c r="O17" s="10"/>
      <c r="P17" s="4">
        <f>SUM(OSRRefP16x_0)</f>
        <v>-184.8</v>
      </c>
      <c r="Q17" s="4"/>
      <c r="R17" s="12">
        <f t="shared" ref="R17:R20" si="8">IF(P$12=0,0,P17/P$12)</f>
        <v>-0.33994334277620397</v>
      </c>
      <c r="S17" s="4"/>
      <c r="T17" s="4">
        <f>SUM(OSRRefT16x_0)</f>
        <v>63</v>
      </c>
      <c r="U17" s="4"/>
      <c r="V17" s="12">
        <f t="shared" ref="V17:V20" si="9">IF(T$12=0,0,T17/T$12)</f>
        <v>0.504</v>
      </c>
      <c r="W17" s="4"/>
      <c r="X17" s="4">
        <f t="shared" ref="X17:X20" si="10">+P17-T17</f>
        <v>-247.8</v>
      </c>
      <c r="Y17" s="4"/>
      <c r="Z17" s="12">
        <f t="shared" ref="Z17:Z20" si="11">IF(T17=0,0,X17/T17)</f>
        <v>-3.9333333333333336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25</v>
      </c>
      <c r="I18" s="2"/>
      <c r="J18" s="19">
        <f t="shared" si="5"/>
        <v>0.5</v>
      </c>
      <c r="K18" s="2"/>
      <c r="L18" s="2">
        <f t="shared" si="6"/>
        <v>-25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63</v>
      </c>
      <c r="U18" s="2"/>
      <c r="V18" s="19">
        <f t="shared" si="9"/>
        <v>0.504</v>
      </c>
      <c r="W18" s="2"/>
      <c r="X18" s="2">
        <f t="shared" si="10"/>
        <v>-63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4"/>
        <v>0</v>
      </c>
      <c r="G19" s="2"/>
      <c r="H19" s="2"/>
      <c r="I19" s="2"/>
      <c r="J19" s="19">
        <f t="shared" si="5"/>
        <v>0</v>
      </c>
      <c r="K19" s="2"/>
      <c r="L19" s="2">
        <f t="shared" si="6"/>
        <v>0</v>
      </c>
      <c r="M19" s="2"/>
      <c r="N19" s="19">
        <f t="shared" si="7"/>
        <v>0</v>
      </c>
      <c r="O19" s="11"/>
      <c r="P19" s="2">
        <v>45</v>
      </c>
      <c r="Q19" s="2"/>
      <c r="R19" s="19">
        <f t="shared" si="8"/>
        <v>8.2778411390309406E-2</v>
      </c>
      <c r="S19" s="2"/>
      <c r="T19" s="2"/>
      <c r="U19" s="2"/>
      <c r="V19" s="19">
        <f t="shared" si="9"/>
        <v>0</v>
      </c>
      <c r="W19" s="2"/>
      <c r="X19" s="2">
        <f t="shared" si="10"/>
        <v>45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-311</v>
      </c>
      <c r="E20" s="2"/>
      <c r="F20" s="19">
        <f t="shared" si="4"/>
        <v>-0.76879341457988293</v>
      </c>
      <c r="G20" s="2"/>
      <c r="H20" s="2"/>
      <c r="I20" s="2"/>
      <c r="J20" s="19">
        <f t="shared" si="5"/>
        <v>0</v>
      </c>
      <c r="K20" s="2"/>
      <c r="L20" s="2">
        <f t="shared" si="6"/>
        <v>-311</v>
      </c>
      <c r="M20" s="2"/>
      <c r="N20" s="19">
        <f t="shared" si="7"/>
        <v>0</v>
      </c>
      <c r="O20" s="11"/>
      <c r="P20" s="2">
        <v>-229.8</v>
      </c>
      <c r="Q20" s="2"/>
      <c r="R20" s="19">
        <f t="shared" si="8"/>
        <v>-0.42272175416651336</v>
      </c>
      <c r="S20" s="2"/>
      <c r="T20" s="2"/>
      <c r="U20" s="2"/>
      <c r="V20" s="19">
        <f t="shared" si="9"/>
        <v>0</v>
      </c>
      <c r="W20" s="2"/>
      <c r="X20" s="2">
        <f t="shared" si="10"/>
        <v>-229.8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108</v>
      </c>
      <c r="C22" s="26"/>
      <c r="D22" s="21">
        <f>D12-D17</f>
        <v>715.53</v>
      </c>
      <c r="E22" s="13"/>
      <c r="F22" s="20">
        <f>IF(D$12=0,0,D22/D$12)</f>
        <v>1.7687934145798829</v>
      </c>
      <c r="G22" s="13"/>
      <c r="H22" s="21">
        <f>H12-H17</f>
        <v>25</v>
      </c>
      <c r="I22" s="13"/>
      <c r="J22" s="20">
        <f>IF(H$12=0,0,H22/H$12)</f>
        <v>0.5</v>
      </c>
      <c r="K22" s="15"/>
      <c r="L22" s="21">
        <f>+D22-H22</f>
        <v>690.53</v>
      </c>
      <c r="M22" s="15"/>
      <c r="N22" s="20">
        <f>IF(H22=0,0,L22/H22)</f>
        <v>27.621199999999998</v>
      </c>
      <c r="O22" s="25"/>
      <c r="P22" s="21">
        <f>P12-P17</f>
        <v>728.42000000000007</v>
      </c>
      <c r="Q22" s="13"/>
      <c r="R22" s="20">
        <f>IF(P$12=0,0,P22/P$12)</f>
        <v>1.3399433427762042</v>
      </c>
      <c r="S22" s="13"/>
      <c r="T22" s="21">
        <f>T12-T17</f>
        <v>62</v>
      </c>
      <c r="U22" s="13"/>
      <c r="V22" s="20">
        <f>IF(T$12=0,0,T22/T$12)</f>
        <v>0.496</v>
      </c>
      <c r="W22" s="15"/>
      <c r="X22" s="21">
        <f>+P22-T22</f>
        <v>666.42000000000007</v>
      </c>
      <c r="Y22" s="15"/>
      <c r="Z22" s="20">
        <f>IF(T22=0,0,X22/T22)</f>
        <v>10.748709677419356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295</v>
      </c>
      <c r="C24" s="10"/>
      <c r="D24" s="22">
        <f>SUM(OSRRefD22x_0)</f>
        <v>101.4</v>
      </c>
      <c r="E24" s="22"/>
      <c r="F24" s="34">
        <f t="shared" ref="F24:F26" si="12">IF(D$12=0,0,D24/D$12)</f>
        <v>0.25066126121672067</v>
      </c>
      <c r="G24" s="22"/>
      <c r="H24" s="22">
        <f>SUM(OSRRefH22x_0)</f>
        <v>4.5</v>
      </c>
      <c r="I24" s="22"/>
      <c r="J24" s="34">
        <f t="shared" ref="J24:J26" si="13">IF(H$12=0,0,H24/H$12)</f>
        <v>0.09</v>
      </c>
      <c r="K24" s="4"/>
      <c r="L24" s="22">
        <f t="shared" ref="L24:L26" si="14">+D24-H24</f>
        <v>96.9</v>
      </c>
      <c r="M24" s="4"/>
      <c r="N24" s="34">
        <f t="shared" ref="N24:N26" si="15">IF(H24=0,0,L24/H24)</f>
        <v>21.533333333333335</v>
      </c>
      <c r="O24" s="10"/>
      <c r="P24" s="22">
        <f>SUM(OSRRefP22x_0)</f>
        <v>274.04000000000002</v>
      </c>
      <c r="Q24" s="22"/>
      <c r="R24" s="34">
        <f t="shared" ref="R24:R26" si="16">IF(P$12=0,0,P24/P$12)</f>
        <v>0.50410213016445315</v>
      </c>
      <c r="S24" s="22"/>
      <c r="T24" s="22">
        <f>SUM(OSRRefT22x_0)</f>
        <v>11.25</v>
      </c>
      <c r="U24" s="22"/>
      <c r="V24" s="34">
        <f t="shared" ref="V24:V26" si="17">IF(T$12=0,0,T24/T$12)</f>
        <v>0.09</v>
      </c>
      <c r="W24" s="4"/>
      <c r="X24" s="22">
        <f t="shared" ref="X24:X26" si="18">+P24-T24</f>
        <v>262.79000000000002</v>
      </c>
      <c r="Y24" s="4"/>
      <c r="Z24" s="34">
        <f t="shared" ref="Z24:Z26" si="19">IF(T24=0,0,X24/T24)</f>
        <v>23.359111111111112</v>
      </c>
    </row>
    <row r="25" spans="1:26" s="28" customFormat="1" outlineLevel="1" collapsed="1" x14ac:dyDescent="0.25">
      <c r="A25" s="29"/>
      <c r="B25" s="14" t="str">
        <f>CONCATENATE("     ","Bank/card Fees                                    ")</f>
        <v xml:space="preserve">     Bank/card Fees                                    </v>
      </c>
      <c r="C25" s="14"/>
      <c r="D25" s="1">
        <f>SUM(OSRRefD22_0x_0)</f>
        <v>101.4</v>
      </c>
      <c r="E25" s="1"/>
      <c r="F25" s="5">
        <f t="shared" si="12"/>
        <v>0.25066126121672067</v>
      </c>
      <c r="G25" s="1"/>
      <c r="H25" s="1">
        <f>SUM(OSRRefH22_0x_0)</f>
        <v>4.5</v>
      </c>
      <c r="I25" s="1"/>
      <c r="J25" s="5">
        <f t="shared" si="13"/>
        <v>0.09</v>
      </c>
      <c r="K25" s="1"/>
      <c r="L25" s="1">
        <f t="shared" si="14"/>
        <v>96.9</v>
      </c>
      <c r="M25" s="1"/>
      <c r="N25" s="5">
        <f t="shared" si="15"/>
        <v>21.533333333333335</v>
      </c>
      <c r="O25" s="14"/>
      <c r="P25" s="1">
        <f>SUM(OSRRefP22_0x_0)</f>
        <v>274.04000000000002</v>
      </c>
      <c r="Q25" s="1"/>
      <c r="R25" s="5">
        <f t="shared" si="16"/>
        <v>0.50410213016445315</v>
      </c>
      <c r="S25" s="1"/>
      <c r="T25" s="1">
        <f>SUM(OSRRefT22_0x_0)</f>
        <v>11.25</v>
      </c>
      <c r="U25" s="1"/>
      <c r="V25" s="5">
        <f t="shared" si="17"/>
        <v>0.09</v>
      </c>
      <c r="W25" s="1"/>
      <c r="X25" s="1">
        <f t="shared" si="18"/>
        <v>262.79000000000002</v>
      </c>
      <c r="Y25" s="1"/>
      <c r="Z25" s="5">
        <f t="shared" si="19"/>
        <v>23.359111111111112</v>
      </c>
    </row>
    <row r="26" spans="1:26" s="24" customFormat="1" hidden="1" outlineLevel="2" x14ac:dyDescent="0.25">
      <c r="A26" s="27"/>
      <c r="B26" s="11" t="str">
        <f>CONCATENATE("          ", "6381", " - ", "BANK/CREDIT CARD FEES")</f>
        <v xml:space="preserve">          6381 - BANK/CREDIT CARD FEES</v>
      </c>
      <c r="C26" s="11"/>
      <c r="D26" s="7">
        <v>101.4</v>
      </c>
      <c r="E26" s="2"/>
      <c r="F26" s="6">
        <f t="shared" si="12"/>
        <v>0.25066126121672067</v>
      </c>
      <c r="G26" s="2"/>
      <c r="H26" s="7">
        <v>4.5</v>
      </c>
      <c r="I26" s="2"/>
      <c r="J26" s="6">
        <f t="shared" si="13"/>
        <v>0.09</v>
      </c>
      <c r="K26" s="2"/>
      <c r="L26" s="7">
        <f t="shared" si="14"/>
        <v>96.9</v>
      </c>
      <c r="M26" s="2"/>
      <c r="N26" s="6">
        <f t="shared" si="15"/>
        <v>21.533333333333335</v>
      </c>
      <c r="O26" s="11"/>
      <c r="P26" s="7">
        <v>274.04000000000002</v>
      </c>
      <c r="Q26" s="2"/>
      <c r="R26" s="6">
        <f t="shared" si="16"/>
        <v>0.50410213016445315</v>
      </c>
      <c r="S26" s="2"/>
      <c r="T26" s="7">
        <v>11.25</v>
      </c>
      <c r="U26" s="2"/>
      <c r="V26" s="6">
        <f t="shared" si="17"/>
        <v>0.09</v>
      </c>
      <c r="W26" s="2"/>
      <c r="X26" s="7">
        <f t="shared" si="18"/>
        <v>262.79000000000002</v>
      </c>
      <c r="Y26" s="2"/>
      <c r="Z26" s="6">
        <f t="shared" si="19"/>
        <v>23.359111111111112</v>
      </c>
    </row>
    <row r="27" spans="1:26" s="60" customFormat="1" x14ac:dyDescent="0.25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5" t="s">
        <v>293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6" t="s">
        <v>277</v>
      </c>
      <c r="C30" s="26"/>
      <c r="D30" s="21">
        <f>+D22-D24+D28</f>
        <v>614.13</v>
      </c>
      <c r="E30" s="13"/>
      <c r="F30" s="20">
        <f>IF(D$12=0,0,D30/D$12)</f>
        <v>1.5181321533631622</v>
      </c>
      <c r="G30" s="13"/>
      <c r="H30" s="21">
        <f>+H22-H24+H28</f>
        <v>20.5</v>
      </c>
      <c r="I30" s="13"/>
      <c r="J30" s="20">
        <f>IF(H$12=0,0,H30/H$12)</f>
        <v>0.41</v>
      </c>
      <c r="K30" s="15"/>
      <c r="L30" s="21">
        <f>+D30-H30</f>
        <v>593.63</v>
      </c>
      <c r="M30" s="15"/>
      <c r="N30" s="20">
        <f>IF(H30=0,0,L30/H30)</f>
        <v>28.957560975609756</v>
      </c>
      <c r="O30" s="25"/>
      <c r="P30" s="21">
        <f>+P22-P24+P28</f>
        <v>454.38000000000005</v>
      </c>
      <c r="Q30" s="13"/>
      <c r="R30" s="20">
        <f>IF(P$12=0,0,P30/P$12)</f>
        <v>0.83584121261175093</v>
      </c>
      <c r="S30" s="13"/>
      <c r="T30" s="21">
        <f>+T22-T24+T28</f>
        <v>50.75</v>
      </c>
      <c r="U30" s="13"/>
      <c r="V30" s="20">
        <f>IF(T$12=0,0,T30/T$12)</f>
        <v>0.40600000000000003</v>
      </c>
      <c r="W30" s="15"/>
      <c r="X30" s="21">
        <f>+P30-T30</f>
        <v>403.63000000000005</v>
      </c>
      <c r="Y30" s="15"/>
      <c r="Z30" s="20">
        <f>IF(T30=0,0,X30/T30)</f>
        <v>7.9533004926108388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2"/>
      <c r="B32" s="10" t="s">
        <v>128</v>
      </c>
      <c r="C32" s="10"/>
      <c r="D32" s="4">
        <v>45.62</v>
      </c>
      <c r="E32" s="4"/>
      <c r="F32" s="12">
        <f>IF(D$12=0,0,D32/D$12)</f>
        <v>0.11277284750203941</v>
      </c>
      <c r="G32" s="4"/>
      <c r="H32" s="4">
        <v>6</v>
      </c>
      <c r="I32" s="4"/>
      <c r="J32" s="12">
        <f>IF(H$12=0,0,H32/H$12)</f>
        <v>0.12</v>
      </c>
      <c r="K32" s="4"/>
      <c r="L32" s="4">
        <f>+D32-H32</f>
        <v>39.619999999999997</v>
      </c>
      <c r="M32" s="4"/>
      <c r="N32" s="12">
        <f>IF(H32=0,0,L32/H32)</f>
        <v>6.6033333333333326</v>
      </c>
      <c r="O32" s="10"/>
      <c r="P32" s="4">
        <v>62.84</v>
      </c>
      <c r="Q32" s="4"/>
      <c r="R32" s="12">
        <f>IF(P$12=0,0,P32/P$12)</f>
        <v>0.1155954527059343</v>
      </c>
      <c r="S32" s="4"/>
      <c r="T32" s="4">
        <v>14</v>
      </c>
      <c r="U32" s="4"/>
      <c r="V32" s="12">
        <f>IF(T$12=0,0,T32/T$12)</f>
        <v>0.112</v>
      </c>
      <c r="W32" s="4"/>
      <c r="X32" s="4">
        <f>+P32-T32</f>
        <v>48.84</v>
      </c>
      <c r="Y32" s="4"/>
      <c r="Z32" s="12">
        <f>IF(T32=0,0,X32/T32)</f>
        <v>3.4885714285714289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6" t="s">
        <v>126</v>
      </c>
      <c r="C34" s="26"/>
      <c r="D34" s="31">
        <f>+D30-D32</f>
        <v>568.51</v>
      </c>
      <c r="E34" s="13"/>
      <c r="F34" s="33">
        <f>IF(D$12=0,0,D34/D$12)</f>
        <v>1.4053593058611229</v>
      </c>
      <c r="G34" s="13"/>
      <c r="H34" s="31">
        <f>+H30-H32</f>
        <v>14.5</v>
      </c>
      <c r="I34" s="13"/>
      <c r="J34" s="33">
        <f>IF(H$12=0,0,H34/H$12)</f>
        <v>0.28999999999999998</v>
      </c>
      <c r="K34" s="15"/>
      <c r="L34" s="31">
        <f>D34-H34</f>
        <v>554.01</v>
      </c>
      <c r="M34" s="15"/>
      <c r="N34" s="33">
        <f>IF(H34=0,0,L34/H34)</f>
        <v>38.207586206896551</v>
      </c>
      <c r="O34" s="25"/>
      <c r="P34" s="31">
        <f>+P30-P32</f>
        <v>391.54000000000008</v>
      </c>
      <c r="Q34" s="13"/>
      <c r="R34" s="33">
        <f>IF(P$12=0,0,P34/P$12)</f>
        <v>0.72024575990581674</v>
      </c>
      <c r="S34" s="13"/>
      <c r="T34" s="31">
        <f>+T30-T32</f>
        <v>36.75</v>
      </c>
      <c r="U34" s="13"/>
      <c r="V34" s="33">
        <f>IF(T$12=0,0,T34/T$12)</f>
        <v>0.29399999999999998</v>
      </c>
      <c r="W34" s="15"/>
      <c r="X34" s="31">
        <f>P34-T34</f>
        <v>354.79000000000008</v>
      </c>
      <c r="Y34" s="15"/>
      <c r="Z34" s="33">
        <f>IF(T34=0,0,X34/T34)</f>
        <v>9.6541496598639469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6" t="s">
        <v>294</v>
      </c>
      <c r="C37" s="26"/>
      <c r="D37" s="35">
        <f>SUM(D34:D36)</f>
        <v>568.51</v>
      </c>
      <c r="E37" s="13"/>
      <c r="F37" s="32">
        <f>IF(D$12=0,0,D37/D$12)</f>
        <v>1.4053593058611229</v>
      </c>
      <c r="G37" s="13"/>
      <c r="H37" s="35">
        <f>SUM(H34:H36)</f>
        <v>14.5</v>
      </c>
      <c r="I37" s="13"/>
      <c r="J37" s="32">
        <f>IF(H$12=0,0,H37/H$12)</f>
        <v>0.28999999999999998</v>
      </c>
      <c r="K37" s="15"/>
      <c r="L37" s="35">
        <f>+D37-H37</f>
        <v>554.01</v>
      </c>
      <c r="M37" s="15"/>
      <c r="N37" s="32">
        <f>IF(H37=0,0,L37/H37)</f>
        <v>38.207586206896551</v>
      </c>
      <c r="O37" s="25"/>
      <c r="P37" s="35">
        <f>SUM(P34:P36)</f>
        <v>391.54000000000008</v>
      </c>
      <c r="Q37" s="13"/>
      <c r="R37" s="32">
        <f>IF(P$12=0,0,P37/P$12)</f>
        <v>0.72024575990581674</v>
      </c>
      <c r="S37" s="13"/>
      <c r="T37" s="35">
        <f>SUM(T34:T36)</f>
        <v>36.75</v>
      </c>
      <c r="U37" s="13"/>
      <c r="V37" s="32">
        <f>IF(T$12=0,0,T37/T$12)</f>
        <v>0.29399999999999998</v>
      </c>
      <c r="W37" s="15"/>
      <c r="X37" s="35">
        <f>+P37-T37</f>
        <v>354.79000000000008</v>
      </c>
      <c r="Y37" s="15"/>
      <c r="Z37" s="32">
        <f>IF(T37=0,0,X37/T37)</f>
        <v>9.6541496598639469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>
        <v>44517.962875613426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2" t="s">
        <v>56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7"/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218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</sheetPr>
  <dimension ref="A2:Z12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200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1790638.6</v>
      </c>
      <c r="E12" s="4"/>
      <c r="F12" s="12"/>
      <c r="G12" s="4"/>
      <c r="H12" s="4">
        <f>SUM(OSRRefH13x_0)</f>
        <v>1569228</v>
      </c>
      <c r="I12" s="4"/>
      <c r="J12" s="12"/>
      <c r="K12" s="4"/>
      <c r="L12" s="4">
        <f t="shared" ref="L12:L18" si="0">+D12-H12</f>
        <v>221410.60000000009</v>
      </c>
      <c r="M12" s="4"/>
      <c r="N12" s="12">
        <f t="shared" ref="N12:N18" si="1">IF(H12=0,0,L12/H12)</f>
        <v>0.14109523918767705</v>
      </c>
      <c r="O12" s="10"/>
      <c r="P12" s="4">
        <f>SUM(OSRRefP13x_0)</f>
        <v>3925590.65</v>
      </c>
      <c r="Q12" s="4"/>
      <c r="R12" s="12"/>
      <c r="S12" s="4"/>
      <c r="T12" s="4">
        <f>SUM(OSRRefT13x_0)</f>
        <v>3153718</v>
      </c>
      <c r="U12" s="4"/>
      <c r="V12" s="12"/>
      <c r="W12" s="4"/>
      <c r="X12" s="4">
        <f t="shared" ref="X12:X18" si="2">+P12-T12</f>
        <v>771872.64999999991</v>
      </c>
      <c r="Y12" s="4"/>
      <c r="Z12" s="12">
        <f t="shared" ref="Z12:Z18" si="3">IF(T12=0,0,X12/T12)</f>
        <v>0.24475005374608633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47889</v>
      </c>
      <c r="I13" s="2"/>
      <c r="J13" s="19"/>
      <c r="K13" s="2"/>
      <c r="L13" s="2">
        <f t="shared" si="0"/>
        <v>-47889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101527</v>
      </c>
      <c r="U13" s="2"/>
      <c r="V13" s="19"/>
      <c r="W13" s="2"/>
      <c r="X13" s="2">
        <f t="shared" si="2"/>
        <v>-101527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--39274.26</f>
        <v>39274.26</v>
      </c>
      <c r="E14" s="2"/>
      <c r="F14" s="19"/>
      <c r="G14" s="2"/>
      <c r="H14" s="2"/>
      <c r="I14" s="2"/>
      <c r="J14" s="19"/>
      <c r="K14" s="2"/>
      <c r="L14" s="2">
        <f t="shared" si="0"/>
        <v>39274.26</v>
      </c>
      <c r="M14" s="2"/>
      <c r="N14" s="19">
        <f t="shared" si="1"/>
        <v>0</v>
      </c>
      <c r="O14" s="11"/>
      <c r="P14" s="2">
        <f>--104250.57</f>
        <v>104250.57</v>
      </c>
      <c r="Q14" s="2"/>
      <c r="R14" s="19"/>
      <c r="S14" s="2"/>
      <c r="T14" s="2"/>
      <c r="U14" s="2"/>
      <c r="V14" s="19"/>
      <c r="W14" s="2"/>
      <c r="X14" s="2">
        <f t="shared" si="2"/>
        <v>104250.57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--4910.57</f>
        <v>4910.57</v>
      </c>
      <c r="E15" s="2"/>
      <c r="F15" s="19"/>
      <c r="G15" s="2"/>
      <c r="H15" s="2"/>
      <c r="I15" s="2"/>
      <c r="J15" s="19"/>
      <c r="K15" s="2"/>
      <c r="L15" s="2">
        <f t="shared" si="0"/>
        <v>4910.57</v>
      </c>
      <c r="M15" s="2"/>
      <c r="N15" s="19">
        <f t="shared" si="1"/>
        <v>0</v>
      </c>
      <c r="O15" s="11"/>
      <c r="P15" s="2">
        <f>--6045.5</f>
        <v>6045.5</v>
      </c>
      <c r="Q15" s="2"/>
      <c r="R15" s="19"/>
      <c r="S15" s="2"/>
      <c r="T15" s="2"/>
      <c r="U15" s="2"/>
      <c r="V15" s="19"/>
      <c r="W15" s="2"/>
      <c r="X15" s="2">
        <f t="shared" si="2"/>
        <v>6045.5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0</f>
        <v>0</v>
      </c>
      <c r="E16" s="2"/>
      <c r="F16" s="19"/>
      <c r="G16" s="2"/>
      <c r="H16" s="2">
        <v>1521339</v>
      </c>
      <c r="I16" s="2"/>
      <c r="J16" s="19"/>
      <c r="K16" s="2"/>
      <c r="L16" s="2">
        <f t="shared" si="0"/>
        <v>-1521339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3052191</v>
      </c>
      <c r="U16" s="2"/>
      <c r="V16" s="19"/>
      <c r="W16" s="2"/>
      <c r="X16" s="2">
        <f t="shared" si="2"/>
        <v>-3052191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--1734326.4</f>
        <v>1734326.4</v>
      </c>
      <c r="E17" s="2"/>
      <c r="F17" s="19"/>
      <c r="G17" s="2"/>
      <c r="H17" s="2"/>
      <c r="I17" s="2"/>
      <c r="J17" s="19"/>
      <c r="K17" s="2"/>
      <c r="L17" s="2">
        <f t="shared" si="0"/>
        <v>1734326.4</v>
      </c>
      <c r="M17" s="2"/>
      <c r="N17" s="19">
        <f t="shared" si="1"/>
        <v>0</v>
      </c>
      <c r="O17" s="11"/>
      <c r="P17" s="2">
        <f>--3770889.88</f>
        <v>3770889.88</v>
      </c>
      <c r="Q17" s="2"/>
      <c r="R17" s="19"/>
      <c r="S17" s="2"/>
      <c r="T17" s="2"/>
      <c r="U17" s="2"/>
      <c r="V17" s="19"/>
      <c r="W17" s="2"/>
      <c r="X17" s="2">
        <f t="shared" si="2"/>
        <v>3770889.88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>--12127.37</f>
        <v>12127.37</v>
      </c>
      <c r="E18" s="2"/>
      <c r="F18" s="19"/>
      <c r="G18" s="2"/>
      <c r="H18" s="2"/>
      <c r="I18" s="2"/>
      <c r="J18" s="19"/>
      <c r="K18" s="2"/>
      <c r="L18" s="2">
        <f t="shared" si="0"/>
        <v>12127.37</v>
      </c>
      <c r="M18" s="2"/>
      <c r="N18" s="19">
        <f t="shared" si="1"/>
        <v>0</v>
      </c>
      <c r="O18" s="11"/>
      <c r="P18" s="2">
        <f>--44404.7</f>
        <v>44404.7</v>
      </c>
      <c r="Q18" s="2"/>
      <c r="R18" s="19"/>
      <c r="S18" s="2"/>
      <c r="T18" s="2"/>
      <c r="U18" s="2"/>
      <c r="V18" s="19"/>
      <c r="W18" s="2"/>
      <c r="X18" s="2">
        <f t="shared" si="2"/>
        <v>44404.7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5" t="s">
        <v>257</v>
      </c>
      <c r="C20" s="10"/>
      <c r="D20" s="4">
        <f>SUM(OSRRefD16x_0)</f>
        <v>524747.68000000005</v>
      </c>
      <c r="E20" s="4"/>
      <c r="F20" s="12">
        <f t="shared" ref="F20:F23" si="4">IF(D$12=0,0,D20/D$12)</f>
        <v>0.29305057983224536</v>
      </c>
      <c r="G20" s="4"/>
      <c r="H20" s="4">
        <f>SUM(OSRRefH16x_0)</f>
        <v>421643</v>
      </c>
      <c r="I20" s="4"/>
      <c r="J20" s="12">
        <f t="shared" ref="J20:J23" si="5">IF(H$12=0,0,H20/H$12)</f>
        <v>0.26869454279429122</v>
      </c>
      <c r="K20" s="4"/>
      <c r="L20" s="4">
        <f t="shared" ref="L20:L23" si="6">+D20-H20</f>
        <v>103104.68000000005</v>
      </c>
      <c r="M20" s="4"/>
      <c r="N20" s="12">
        <f t="shared" ref="N20:N23" si="7">IF(H20=0,0,L20/H20)</f>
        <v>0.24453075231890498</v>
      </c>
      <c r="O20" s="10"/>
      <c r="P20" s="4">
        <f>SUM(OSRRefP16x_0)</f>
        <v>1144330.21</v>
      </c>
      <c r="Q20" s="4"/>
      <c r="R20" s="12">
        <f t="shared" ref="R20:R23" si="8">IF(P$12=0,0,P20/P$12)</f>
        <v>0.29150523119368038</v>
      </c>
      <c r="S20" s="4"/>
      <c r="T20" s="4">
        <f>SUM(OSRRefT16x_0)</f>
        <v>933832</v>
      </c>
      <c r="U20" s="4"/>
      <c r="V20" s="12">
        <f t="shared" ref="V20:V23" si="9">IF(T$12=0,0,T20/T$12)</f>
        <v>0.29610510514890676</v>
      </c>
      <c r="W20" s="4"/>
      <c r="X20" s="4">
        <f t="shared" ref="X20:X23" si="10">+P20-T20</f>
        <v>210498.20999999996</v>
      </c>
      <c r="Y20" s="4"/>
      <c r="Z20" s="12">
        <f t="shared" ref="Z20:Z23" si="11">IF(T20=0,0,X20/T20)</f>
        <v>0.22541336128982511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421643</v>
      </c>
      <c r="I21" s="2"/>
      <c r="J21" s="19">
        <f t="shared" si="5"/>
        <v>0.26869454279429122</v>
      </c>
      <c r="K21" s="2"/>
      <c r="L21" s="2">
        <f t="shared" si="6"/>
        <v>-421643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933832</v>
      </c>
      <c r="U21" s="2"/>
      <c r="V21" s="19">
        <f t="shared" si="9"/>
        <v>0.29610510514890676</v>
      </c>
      <c r="W21" s="2"/>
      <c r="X21" s="2">
        <f t="shared" si="10"/>
        <v>-933832</v>
      </c>
      <c r="Y21" s="2"/>
      <c r="Z21" s="19">
        <f t="shared" si="11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514182.2</v>
      </c>
      <c r="E22" s="2"/>
      <c r="F22" s="19">
        <f t="shared" si="4"/>
        <v>0.28715018206353865</v>
      </c>
      <c r="G22" s="2"/>
      <c r="H22" s="2"/>
      <c r="I22" s="2"/>
      <c r="J22" s="19">
        <f t="shared" si="5"/>
        <v>0</v>
      </c>
      <c r="K22" s="2"/>
      <c r="L22" s="2">
        <f t="shared" si="6"/>
        <v>514182.2</v>
      </c>
      <c r="M22" s="2"/>
      <c r="N22" s="19">
        <f t="shared" si="7"/>
        <v>0</v>
      </c>
      <c r="O22" s="11"/>
      <c r="P22" s="2">
        <v>1207094.1299999999</v>
      </c>
      <c r="Q22" s="2"/>
      <c r="R22" s="19">
        <f t="shared" si="8"/>
        <v>0.30749363283713749</v>
      </c>
      <c r="S22" s="2"/>
      <c r="T22" s="2"/>
      <c r="U22" s="2"/>
      <c r="V22" s="19">
        <f t="shared" si="9"/>
        <v>0</v>
      </c>
      <c r="W22" s="2"/>
      <c r="X22" s="2">
        <f t="shared" si="10"/>
        <v>1207094.1299999999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10565.48</v>
      </c>
      <c r="E23" s="2"/>
      <c r="F23" s="19">
        <f t="shared" si="4"/>
        <v>5.9003977687066495E-3</v>
      </c>
      <c r="G23" s="2"/>
      <c r="H23" s="2"/>
      <c r="I23" s="2"/>
      <c r="J23" s="19">
        <f t="shared" si="5"/>
        <v>0</v>
      </c>
      <c r="K23" s="2"/>
      <c r="L23" s="2">
        <f t="shared" si="6"/>
        <v>10565.48</v>
      </c>
      <c r="M23" s="2"/>
      <c r="N23" s="19">
        <f t="shared" si="7"/>
        <v>0</v>
      </c>
      <c r="O23" s="11"/>
      <c r="P23" s="2">
        <v>-62763.92</v>
      </c>
      <c r="Q23" s="2"/>
      <c r="R23" s="19">
        <f t="shared" si="8"/>
        <v>-1.5988401643457145E-2</v>
      </c>
      <c r="S23" s="2"/>
      <c r="T23" s="2"/>
      <c r="U23" s="2"/>
      <c r="V23" s="19">
        <f t="shared" si="9"/>
        <v>0</v>
      </c>
      <c r="W23" s="2"/>
      <c r="X23" s="2">
        <f t="shared" si="10"/>
        <v>-62763.92</v>
      </c>
      <c r="Y23" s="2"/>
      <c r="Z23" s="19">
        <f t="shared" si="11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6" t="s">
        <v>108</v>
      </c>
      <c r="C25" s="26"/>
      <c r="D25" s="21">
        <f>D12-D20</f>
        <v>1265890.92</v>
      </c>
      <c r="E25" s="13"/>
      <c r="F25" s="20">
        <f>IF(D$12=0,0,D25/D$12)</f>
        <v>0.70694942016775464</v>
      </c>
      <c r="G25" s="13"/>
      <c r="H25" s="21">
        <f>H12-H20</f>
        <v>1147585</v>
      </c>
      <c r="I25" s="13"/>
      <c r="J25" s="20">
        <f>IF(H$12=0,0,H25/H$12)</f>
        <v>0.73130545720570883</v>
      </c>
      <c r="K25" s="15"/>
      <c r="L25" s="21">
        <f>+D25-H25</f>
        <v>118305.91999999993</v>
      </c>
      <c r="M25" s="15"/>
      <c r="N25" s="20">
        <f>IF(H25=0,0,L25/H25)</f>
        <v>0.10309120457308167</v>
      </c>
      <c r="O25" s="25"/>
      <c r="P25" s="21">
        <f>P12-P20</f>
        <v>2781260.44</v>
      </c>
      <c r="Q25" s="13"/>
      <c r="R25" s="20">
        <f>IF(P$12=0,0,P25/P$12)</f>
        <v>0.70849476880631967</v>
      </c>
      <c r="S25" s="13"/>
      <c r="T25" s="21">
        <f>T12-T20</f>
        <v>2219886</v>
      </c>
      <c r="U25" s="13"/>
      <c r="V25" s="20">
        <f>IF(T$12=0,0,T25/T$12)</f>
        <v>0.70389489485109324</v>
      </c>
      <c r="W25" s="15"/>
      <c r="X25" s="21">
        <f>+P25-T25</f>
        <v>561374.43999999994</v>
      </c>
      <c r="Y25" s="15"/>
      <c r="Z25" s="20">
        <f>IF(T25=0,0,X25/T25)</f>
        <v>0.25288435532275078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5" t="s">
        <v>295</v>
      </c>
      <c r="C27" s="10"/>
      <c r="D27" s="22">
        <f>SUM(OSRRefD22x_0)</f>
        <v>961020.02000000025</v>
      </c>
      <c r="E27" s="22"/>
      <c r="F27" s="34">
        <f t="shared" ref="F27:F38" si="12">IF(D$12=0,0,D27/D$12)</f>
        <v>0.5366912228966807</v>
      </c>
      <c r="G27" s="22"/>
      <c r="H27" s="22">
        <f>SUM(OSRRefH22x_0)</f>
        <v>864304.33134971152</v>
      </c>
      <c r="I27" s="22"/>
      <c r="J27" s="34">
        <f t="shared" ref="J27:J38" si="13">IF(H$12=0,0,H27/H$12)</f>
        <v>0.55078314390879557</v>
      </c>
      <c r="K27" s="4"/>
      <c r="L27" s="22">
        <f t="shared" ref="L27:L38" si="14">+D27-H27</f>
        <v>96715.688650288736</v>
      </c>
      <c r="M27" s="4"/>
      <c r="N27" s="34">
        <f t="shared" ref="N27:N38" si="15">IF(H27=0,0,L27/H27)</f>
        <v>0.11190003930589583</v>
      </c>
      <c r="O27" s="10"/>
      <c r="P27" s="22">
        <f>SUM(OSRRefP22x_0)</f>
        <v>2490001.1199999996</v>
      </c>
      <c r="Q27" s="22"/>
      <c r="R27" s="34">
        <f t="shared" ref="R27:R38" si="16">IF(P$12=0,0,P27/P$12)</f>
        <v>0.63429973779869275</v>
      </c>
      <c r="S27" s="22"/>
      <c r="T27" s="22">
        <f>SUM(OSRRefT22x_0)</f>
        <v>2682615.9005165123</v>
      </c>
      <c r="U27" s="22"/>
      <c r="V27" s="34">
        <f t="shared" ref="V27:V38" si="17">IF(T$12=0,0,T27/T$12)</f>
        <v>0.85062009365343139</v>
      </c>
      <c r="W27" s="4"/>
      <c r="X27" s="22">
        <f t="shared" ref="X27:X38" si="18">+P27-T27</f>
        <v>-192614.78051651269</v>
      </c>
      <c r="Y27" s="4"/>
      <c r="Z27" s="34">
        <f t="shared" ref="Z27:Z38" si="19">IF(T27=0,0,X27/T27)</f>
        <v>-7.180110297543027E-2</v>
      </c>
    </row>
    <row r="28" spans="1:26" s="28" customFormat="1" outlineLevel="1" collapsed="1" x14ac:dyDescent="0.25">
      <c r="A28" s="29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142505.12</v>
      </c>
      <c r="E28" s="1"/>
      <c r="F28" s="5">
        <f t="shared" si="12"/>
        <v>7.9583406724282602E-2</v>
      </c>
      <c r="G28" s="1"/>
      <c r="H28" s="1">
        <f>SUM(OSRRefH22_0x_0)</f>
        <v>163195.23553240389</v>
      </c>
      <c r="I28" s="1"/>
      <c r="J28" s="5">
        <f t="shared" si="13"/>
        <v>0.10399714734404682</v>
      </c>
      <c r="K28" s="1"/>
      <c r="L28" s="1">
        <f t="shared" si="14"/>
        <v>-20690.115532403899</v>
      </c>
      <c r="M28" s="1"/>
      <c r="N28" s="5">
        <f t="shared" si="15"/>
        <v>-0.12678136996404954</v>
      </c>
      <c r="O28" s="14"/>
      <c r="P28" s="1">
        <f>SUM(OSRRefP22_0x_0)</f>
        <v>455171.88</v>
      </c>
      <c r="Q28" s="1"/>
      <c r="R28" s="5">
        <f t="shared" si="16"/>
        <v>0.11594990934676289</v>
      </c>
      <c r="S28" s="1"/>
      <c r="T28" s="1">
        <f>SUM(OSRRefT22_0x_0)</f>
        <v>575302.24273420474</v>
      </c>
      <c r="U28" s="1"/>
      <c r="V28" s="5">
        <f t="shared" si="17"/>
        <v>0.18242031872672343</v>
      </c>
      <c r="W28" s="1"/>
      <c r="X28" s="1">
        <f t="shared" si="18"/>
        <v>-120130.36273420474</v>
      </c>
      <c r="Y28" s="1"/>
      <c r="Z28" s="5">
        <f t="shared" si="19"/>
        <v>-0.20881260980883423</v>
      </c>
    </row>
    <row r="29" spans="1:26" s="24" customFormat="1" hidden="1" outlineLevel="2" x14ac:dyDescent="0.25">
      <c r="A29" s="27"/>
      <c r="B29" s="11" t="str">
        <f>CONCATENATE("          ", "6111", " - ", "F.I.C.A.")</f>
        <v xml:space="preserve">          6111 - F.I.C.A.</v>
      </c>
      <c r="C29" s="11"/>
      <c r="D29" s="7">
        <v>25526.19</v>
      </c>
      <c r="E29" s="2"/>
      <c r="F29" s="6">
        <f t="shared" si="12"/>
        <v>1.4255355603302641E-2</v>
      </c>
      <c r="G29" s="2"/>
      <c r="H29" s="7">
        <v>18841.6337535577</v>
      </c>
      <c r="I29" s="2"/>
      <c r="J29" s="6">
        <f t="shared" si="13"/>
        <v>1.2006944659130285E-2</v>
      </c>
      <c r="K29" s="2"/>
      <c r="L29" s="7">
        <f t="shared" si="14"/>
        <v>6684.5562464422983</v>
      </c>
      <c r="M29" s="2"/>
      <c r="N29" s="6">
        <f t="shared" si="15"/>
        <v>0.35477582962677595</v>
      </c>
      <c r="O29" s="11"/>
      <c r="P29" s="7">
        <v>67339.960000000006</v>
      </c>
      <c r="Q29" s="2"/>
      <c r="R29" s="6">
        <f t="shared" si="16"/>
        <v>1.7154096288669325E-2</v>
      </c>
      <c r="S29" s="2"/>
      <c r="T29" s="7">
        <v>68913.153116973699</v>
      </c>
      <c r="U29" s="2"/>
      <c r="V29" s="6">
        <f t="shared" si="17"/>
        <v>2.1851399876898853E-2</v>
      </c>
      <c r="W29" s="2"/>
      <c r="X29" s="7">
        <f t="shared" si="18"/>
        <v>-1573.1931169736927</v>
      </c>
      <c r="Y29" s="2"/>
      <c r="Z29" s="6">
        <f t="shared" si="19"/>
        <v>-2.2828633516497828E-2</v>
      </c>
    </row>
    <row r="30" spans="1:26" s="24" customFormat="1" hidden="1" outlineLevel="2" x14ac:dyDescent="0.25">
      <c r="A30" s="27"/>
      <c r="B30" s="11" t="str">
        <f>CONCATENATE("          ", "6112", " - ", "COMPENSATION INSURANCE")</f>
        <v xml:space="preserve">          6112 - COMPENSATION INSURANCE</v>
      </c>
      <c r="C30" s="11"/>
      <c r="D30" s="7">
        <v>15861.43</v>
      </c>
      <c r="E30" s="2"/>
      <c r="F30" s="6">
        <f t="shared" si="12"/>
        <v>8.8579739094198015E-3</v>
      </c>
      <c r="G30" s="2"/>
      <c r="H30" s="7">
        <v>17116.940625961499</v>
      </c>
      <c r="I30" s="2"/>
      <c r="J30" s="6">
        <f t="shared" si="13"/>
        <v>1.0907873569654314E-2</v>
      </c>
      <c r="K30" s="2"/>
      <c r="L30" s="7">
        <f t="shared" si="14"/>
        <v>-1255.5106259614986</v>
      </c>
      <c r="M30" s="2"/>
      <c r="N30" s="6">
        <f t="shared" si="15"/>
        <v>-7.3349008645695032E-2</v>
      </c>
      <c r="O30" s="11"/>
      <c r="P30" s="7">
        <v>35985.660000000003</v>
      </c>
      <c r="Q30" s="2"/>
      <c r="R30" s="6">
        <f t="shared" si="16"/>
        <v>9.1669415403768609E-3</v>
      </c>
      <c r="S30" s="2"/>
      <c r="T30" s="7">
        <v>49890.968930841598</v>
      </c>
      <c r="U30" s="2"/>
      <c r="V30" s="6">
        <f t="shared" si="17"/>
        <v>1.5819730531024524E-2</v>
      </c>
      <c r="W30" s="2"/>
      <c r="X30" s="7">
        <f t="shared" si="18"/>
        <v>-13905.308930841595</v>
      </c>
      <c r="Y30" s="2"/>
      <c r="Z30" s="6">
        <f t="shared" si="19"/>
        <v>-0.27871394821209039</v>
      </c>
    </row>
    <row r="31" spans="1:26" s="24" customFormat="1" hidden="1" outlineLevel="2" x14ac:dyDescent="0.25">
      <c r="A31" s="27"/>
      <c r="B31" s="11" t="str">
        <f>CONCATENATE("          ", "6113", " - ", "GROUP INSURANCE")</f>
        <v xml:space="preserve">          6113 - GROUP INSURANCE</v>
      </c>
      <c r="C31" s="11"/>
      <c r="D31" s="7">
        <v>54891.82</v>
      </c>
      <c r="E31" s="2"/>
      <c r="F31" s="6">
        <f t="shared" si="12"/>
        <v>3.0654884799199568E-2</v>
      </c>
      <c r="G31" s="2"/>
      <c r="H31" s="7">
        <v>89037.692307692399</v>
      </c>
      <c r="I31" s="2"/>
      <c r="J31" s="6">
        <f t="shared" si="13"/>
        <v>5.6739806011422429E-2</v>
      </c>
      <c r="K31" s="2"/>
      <c r="L31" s="7">
        <f t="shared" si="14"/>
        <v>-34145.8723076924</v>
      </c>
      <c r="M31" s="2"/>
      <c r="N31" s="6">
        <f t="shared" si="15"/>
        <v>-0.38349907126627508</v>
      </c>
      <c r="O31" s="11"/>
      <c r="P31" s="7">
        <v>219501.65</v>
      </c>
      <c r="Q31" s="2"/>
      <c r="R31" s="6">
        <f t="shared" si="16"/>
        <v>5.591557285780676E-2</v>
      </c>
      <c r="S31" s="2"/>
      <c r="T31" s="7">
        <v>327432.27692307701</v>
      </c>
      <c r="U31" s="2"/>
      <c r="V31" s="6">
        <f t="shared" si="17"/>
        <v>0.10382420905200687</v>
      </c>
      <c r="W31" s="2"/>
      <c r="X31" s="7">
        <f t="shared" si="18"/>
        <v>-107930.62692307701</v>
      </c>
      <c r="Y31" s="2"/>
      <c r="Z31" s="6">
        <f t="shared" si="19"/>
        <v>-0.32962732916044479</v>
      </c>
    </row>
    <row r="32" spans="1:26" s="24" customFormat="1" hidden="1" outlineLevel="2" x14ac:dyDescent="0.25">
      <c r="A32" s="27"/>
      <c r="B32" s="11" t="str">
        <f>CONCATENATE("          ", "6114", " - ", "STATE UNEMPLOYMENT INSURANCE")</f>
        <v xml:space="preserve">          6114 - STATE UNEMPLOYMENT INSURANCE</v>
      </c>
      <c r="C32" s="11"/>
      <c r="D32" s="7">
        <v>1189.1199999999999</v>
      </c>
      <c r="E32" s="2"/>
      <c r="F32" s="6">
        <f t="shared" si="12"/>
        <v>6.6407593358034386E-4</v>
      </c>
      <c r="G32" s="2"/>
      <c r="H32" s="7">
        <v>948.43206634615399</v>
      </c>
      <c r="I32" s="2"/>
      <c r="J32" s="6">
        <f t="shared" si="13"/>
        <v>6.0439405003361783E-4</v>
      </c>
      <c r="K32" s="2"/>
      <c r="L32" s="7">
        <f t="shared" si="14"/>
        <v>240.6879336538459</v>
      </c>
      <c r="M32" s="2"/>
      <c r="N32" s="6">
        <f t="shared" si="15"/>
        <v>0.2537745635078526</v>
      </c>
      <c r="O32" s="11"/>
      <c r="P32" s="7">
        <v>2730.58</v>
      </c>
      <c r="Q32" s="2"/>
      <c r="R32" s="6">
        <f t="shared" si="16"/>
        <v>6.9558449758382219E-4</v>
      </c>
      <c r="S32" s="2"/>
      <c r="T32" s="7">
        <v>2764.40724946616</v>
      </c>
      <c r="U32" s="2"/>
      <c r="V32" s="6">
        <f t="shared" si="17"/>
        <v>8.7655498984568695E-4</v>
      </c>
      <c r="W32" s="2"/>
      <c r="X32" s="7">
        <f t="shared" si="18"/>
        <v>-33.827249466160083</v>
      </c>
      <c r="Y32" s="2"/>
      <c r="Z32" s="6">
        <f t="shared" si="19"/>
        <v>-1.2236709867076397E-2</v>
      </c>
    </row>
    <row r="33" spans="1:26" s="24" customFormat="1" hidden="1" outlineLevel="2" x14ac:dyDescent="0.25">
      <c r="A33" s="27"/>
      <c r="B33" s="11" t="str">
        <f>CONCATENATE("          ", "6115", " - ", "P.E.R.S.")</f>
        <v xml:space="preserve">          6115 - P.E.R.S.</v>
      </c>
      <c r="C33" s="11"/>
      <c r="D33" s="7">
        <v>10630.59</v>
      </c>
      <c r="E33" s="2"/>
      <c r="F33" s="6">
        <f t="shared" si="12"/>
        <v>5.9367590981228707E-3</v>
      </c>
      <c r="G33" s="2"/>
      <c r="H33" s="7">
        <v>7725.9877884615498</v>
      </c>
      <c r="I33" s="2"/>
      <c r="J33" s="6">
        <f t="shared" si="13"/>
        <v>4.9234322790961864E-3</v>
      </c>
      <c r="K33" s="2"/>
      <c r="L33" s="7">
        <f t="shared" si="14"/>
        <v>2904.6022115384503</v>
      </c>
      <c r="M33" s="2"/>
      <c r="N33" s="6">
        <f t="shared" si="15"/>
        <v>0.37595221362844455</v>
      </c>
      <c r="O33" s="11"/>
      <c r="P33" s="7">
        <v>31328.63</v>
      </c>
      <c r="Q33" s="2"/>
      <c r="R33" s="6">
        <f t="shared" si="16"/>
        <v>7.9806156049408768E-3</v>
      </c>
      <c r="S33" s="2"/>
      <c r="T33" s="7">
        <v>27813.5560384616</v>
      </c>
      <c r="U33" s="2"/>
      <c r="V33" s="6">
        <f t="shared" si="17"/>
        <v>8.8192907667906904E-3</v>
      </c>
      <c r="W33" s="2"/>
      <c r="X33" s="7">
        <f t="shared" si="18"/>
        <v>3515.0739615384009</v>
      </c>
      <c r="Y33" s="2"/>
      <c r="Z33" s="6">
        <f t="shared" si="19"/>
        <v>0.12637988312884654</v>
      </c>
    </row>
    <row r="34" spans="1:26" s="24" customFormat="1" hidden="1" outlineLevel="2" x14ac:dyDescent="0.25">
      <c r="A34" s="27"/>
      <c r="B34" s="11" t="str">
        <f>CONCATENATE("          ", "6116", " - ", "EDUCATIONAL BENEFITS")</f>
        <v xml:space="preserve">          6116 - EDUCATIONAL BENEFITS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7"/>
      <c r="B35" s="11" t="str">
        <f>CONCATENATE("          ", "6117", " - ", "RETIREMENT STAFF HOURLY")</f>
        <v xml:space="preserve">          6117 - RETIREMENT STAFF HOURLY</v>
      </c>
      <c r="C35" s="11"/>
      <c r="D35" s="7">
        <v>1868.11</v>
      </c>
      <c r="E35" s="2"/>
      <c r="F35" s="6">
        <f t="shared" si="12"/>
        <v>1.043264676635475E-3</v>
      </c>
      <c r="G35" s="2"/>
      <c r="H35" s="7"/>
      <c r="I35" s="2"/>
      <c r="J35" s="6">
        <f t="shared" si="13"/>
        <v>0</v>
      </c>
      <c r="K35" s="2"/>
      <c r="L35" s="7">
        <f t="shared" si="14"/>
        <v>1868.11</v>
      </c>
      <c r="M35" s="2"/>
      <c r="N35" s="6">
        <f t="shared" si="15"/>
        <v>0</v>
      </c>
      <c r="O35" s="11"/>
      <c r="P35" s="7">
        <v>6485.41</v>
      </c>
      <c r="Q35" s="2"/>
      <c r="R35" s="6">
        <f t="shared" si="16"/>
        <v>1.6520851454544809E-3</v>
      </c>
      <c r="S35" s="2"/>
      <c r="T35" s="7"/>
      <c r="U35" s="2"/>
      <c r="V35" s="6">
        <f t="shared" si="17"/>
        <v>0</v>
      </c>
      <c r="W35" s="2"/>
      <c r="X35" s="7">
        <f t="shared" si="18"/>
        <v>6485.41</v>
      </c>
      <c r="Y35" s="2"/>
      <c r="Z35" s="6">
        <f t="shared" si="19"/>
        <v>0</v>
      </c>
    </row>
    <row r="36" spans="1:26" s="24" customFormat="1" hidden="1" outlineLevel="2" x14ac:dyDescent="0.25">
      <c r="A36" s="27"/>
      <c r="B36" s="11" t="str">
        <f>CONCATENATE("          ", "6118", " - ", "VACATION")</f>
        <v xml:space="preserve">          6118 - VACATION</v>
      </c>
      <c r="C36" s="11"/>
      <c r="D36" s="7">
        <v>14584.64</v>
      </c>
      <c r="E36" s="2"/>
      <c r="F36" s="6">
        <f t="shared" si="12"/>
        <v>8.144937789233404E-3</v>
      </c>
      <c r="G36" s="2"/>
      <c r="H36" s="7">
        <v>9959.1171576923007</v>
      </c>
      <c r="I36" s="2"/>
      <c r="J36" s="6">
        <f t="shared" si="13"/>
        <v>6.346507427660162E-3</v>
      </c>
      <c r="K36" s="2"/>
      <c r="L36" s="7">
        <f t="shared" si="14"/>
        <v>4625.5228423076987</v>
      </c>
      <c r="M36" s="2"/>
      <c r="N36" s="6">
        <f t="shared" si="15"/>
        <v>0.46445109230741416</v>
      </c>
      <c r="O36" s="11"/>
      <c r="P36" s="7">
        <v>43388.76</v>
      </c>
      <c r="Q36" s="2"/>
      <c r="R36" s="6">
        <f t="shared" si="16"/>
        <v>1.1052797876416382E-2</v>
      </c>
      <c r="S36" s="2"/>
      <c r="T36" s="7">
        <v>35781.403383692297</v>
      </c>
      <c r="U36" s="2"/>
      <c r="V36" s="6">
        <f t="shared" si="17"/>
        <v>1.1345784050347018E-2</v>
      </c>
      <c r="W36" s="2"/>
      <c r="X36" s="7">
        <f t="shared" si="18"/>
        <v>7607.3566163077048</v>
      </c>
      <c r="Y36" s="2"/>
      <c r="Z36" s="6">
        <f t="shared" si="19"/>
        <v>0.21260643510072127</v>
      </c>
    </row>
    <row r="37" spans="1:26" s="24" customFormat="1" hidden="1" outlineLevel="2" x14ac:dyDescent="0.25">
      <c r="A37" s="27"/>
      <c r="B37" s="11" t="str">
        <f>CONCATENATE("          ", "6119", " - ", "SICK LEAVE")</f>
        <v xml:space="preserve">          6119 - SICK LEAVE</v>
      </c>
      <c r="C37" s="11"/>
      <c r="D37" s="7">
        <v>10591.47</v>
      </c>
      <c r="E37" s="2"/>
      <c r="F37" s="6">
        <f t="shared" si="12"/>
        <v>5.9149121436341198E-3</v>
      </c>
      <c r="G37" s="2"/>
      <c r="H37" s="7">
        <v>13020.4318326923</v>
      </c>
      <c r="I37" s="2"/>
      <c r="J37" s="6">
        <f t="shared" si="13"/>
        <v>8.2973486534093834E-3</v>
      </c>
      <c r="K37" s="2"/>
      <c r="L37" s="7">
        <f t="shared" si="14"/>
        <v>-2428.961832692301</v>
      </c>
      <c r="M37" s="2"/>
      <c r="N37" s="6">
        <f t="shared" si="15"/>
        <v>-0.18655002106716242</v>
      </c>
      <c r="O37" s="11"/>
      <c r="P37" s="7">
        <v>29888.01</v>
      </c>
      <c r="Q37" s="2"/>
      <c r="R37" s="6">
        <f t="shared" si="16"/>
        <v>7.6136338871705843E-3</v>
      </c>
      <c r="S37" s="2"/>
      <c r="T37" s="7">
        <v>37854.477091692301</v>
      </c>
      <c r="U37" s="2"/>
      <c r="V37" s="6">
        <f t="shared" si="17"/>
        <v>1.2003126814665199E-2</v>
      </c>
      <c r="W37" s="2"/>
      <c r="X37" s="7">
        <f t="shared" si="18"/>
        <v>-7966.4670916923023</v>
      </c>
      <c r="Y37" s="2"/>
      <c r="Z37" s="6">
        <f t="shared" si="19"/>
        <v>-0.21044979890742319</v>
      </c>
    </row>
    <row r="38" spans="1:26" s="24" customFormat="1" hidden="1" outlineLevel="2" x14ac:dyDescent="0.25">
      <c r="A38" s="27"/>
      <c r="B38" s="11" t="str">
        <f>CONCATENATE("          ", "6156", " - ", "EMPLOYEE MEALS")</f>
        <v xml:space="preserve">          6156 - EMPLOYEE MEALS</v>
      </c>
      <c r="C38" s="11"/>
      <c r="D38" s="7">
        <v>7361.75</v>
      </c>
      <c r="E38" s="2"/>
      <c r="F38" s="6">
        <f t="shared" si="12"/>
        <v>4.1112427711543801E-3</v>
      </c>
      <c r="G38" s="2"/>
      <c r="H38" s="7">
        <v>6545</v>
      </c>
      <c r="I38" s="2"/>
      <c r="J38" s="6">
        <f t="shared" si="13"/>
        <v>4.1708406936404397E-3</v>
      </c>
      <c r="K38" s="2"/>
      <c r="L38" s="7">
        <f t="shared" si="14"/>
        <v>816.75</v>
      </c>
      <c r="M38" s="2"/>
      <c r="N38" s="6">
        <f t="shared" si="15"/>
        <v>0.12478991596638656</v>
      </c>
      <c r="O38" s="11"/>
      <c r="P38" s="7">
        <v>18523.22</v>
      </c>
      <c r="Q38" s="2"/>
      <c r="R38" s="6">
        <f t="shared" si="16"/>
        <v>4.7185816483437983E-3</v>
      </c>
      <c r="S38" s="2"/>
      <c r="T38" s="7">
        <v>24852</v>
      </c>
      <c r="U38" s="2"/>
      <c r="V38" s="6">
        <f t="shared" si="17"/>
        <v>7.8802226451445568E-3</v>
      </c>
      <c r="W38" s="2"/>
      <c r="X38" s="7">
        <f t="shared" si="18"/>
        <v>-6328.7799999999988</v>
      </c>
      <c r="Y38" s="2"/>
      <c r="Z38" s="6">
        <f t="shared" si="19"/>
        <v>-0.25465877997746655</v>
      </c>
    </row>
    <row r="39" spans="1:26" s="28" customFormat="1" outlineLevel="1" collapsed="1" x14ac:dyDescent="0.25">
      <c r="A39" s="29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469772.13999999996</v>
      </c>
      <c r="E39" s="1"/>
      <c r="F39" s="5">
        <f t="shared" ref="F39:F49" si="20">IF(D$12=0,0,D39/D$12)</f>
        <v>0.26234894076336784</v>
      </c>
      <c r="G39" s="1"/>
      <c r="H39" s="1">
        <f>SUM(OSRRefH22_1x_0)</f>
        <v>430060.09581730759</v>
      </c>
      <c r="I39" s="1"/>
      <c r="J39" s="5">
        <f t="shared" ref="J39:J49" si="21">IF(H$12=0,0,H39/H$12)</f>
        <v>0.27405838782975295</v>
      </c>
      <c r="K39" s="1"/>
      <c r="L39" s="1">
        <f t="shared" ref="L39:L49" si="22">+D39-H39</f>
        <v>39712.044182692363</v>
      </c>
      <c r="M39" s="1"/>
      <c r="N39" s="5">
        <f t="shared" ref="N39:N49" si="23">IF(H39=0,0,L39/H39)</f>
        <v>9.2340685799322114E-2</v>
      </c>
      <c r="O39" s="14"/>
      <c r="P39" s="1">
        <f>SUM(OSRRefP22_1x_0)</f>
        <v>1118042.6399999999</v>
      </c>
      <c r="Q39" s="1"/>
      <c r="R39" s="5">
        <f t="shared" ref="R39:R49" si="24">IF(P$12=0,0,P39/P$12)</f>
        <v>0.28480876884093859</v>
      </c>
      <c r="S39" s="1"/>
      <c r="T39" s="1">
        <f>SUM(OSRRefT22_1x_0)</f>
        <v>1246501.6577823076</v>
      </c>
      <c r="U39" s="1"/>
      <c r="V39" s="5">
        <f t="shared" ref="V39:V49" si="25">IF(T$12=0,0,T39/T$12)</f>
        <v>0.39524829353236646</v>
      </c>
      <c r="W39" s="1"/>
      <c r="X39" s="1">
        <f t="shared" ref="X39:X49" si="26">+P39-T39</f>
        <v>-128459.0177823077</v>
      </c>
      <c r="Y39" s="1"/>
      <c r="Z39" s="5">
        <f t="shared" ref="Z39:Z49" si="27">IF(T39=0,0,X39/T39)</f>
        <v>-0.10305563332410916</v>
      </c>
    </row>
    <row r="40" spans="1:26" s="24" customFormat="1" hidden="1" outlineLevel="2" x14ac:dyDescent="0.25">
      <c r="A40" s="27"/>
      <c r="B40" s="11" t="str">
        <f>CONCATENATE("          ", "6001", " - ", "ADMINISTRATIVE SALARIES")</f>
        <v xml:space="preserve">          6001 - ADMINISTRATIVE SALARIES</v>
      </c>
      <c r="C40" s="11"/>
      <c r="D40" s="7">
        <v>21715.45</v>
      </c>
      <c r="E40" s="2"/>
      <c r="F40" s="6">
        <f t="shared" si="20"/>
        <v>1.2127209812186557E-2</v>
      </c>
      <c r="G40" s="2"/>
      <c r="H40" s="7">
        <v>12835.384615384601</v>
      </c>
      <c r="I40" s="2"/>
      <c r="J40" s="6">
        <f t="shared" si="21"/>
        <v>8.1794261989874013E-3</v>
      </c>
      <c r="K40" s="2"/>
      <c r="L40" s="7">
        <f t="shared" si="22"/>
        <v>8880.0653846154</v>
      </c>
      <c r="M40" s="2"/>
      <c r="N40" s="6">
        <f t="shared" si="23"/>
        <v>0.69184256262735422</v>
      </c>
      <c r="O40" s="11"/>
      <c r="P40" s="7">
        <v>82697.61</v>
      </c>
      <c r="Q40" s="2"/>
      <c r="R40" s="6">
        <f t="shared" si="24"/>
        <v>2.1066284636682635E-2</v>
      </c>
      <c r="S40" s="2"/>
      <c r="T40" s="7">
        <v>46207.384615384603</v>
      </c>
      <c r="U40" s="2"/>
      <c r="V40" s="6">
        <f t="shared" si="25"/>
        <v>1.4651717311244887E-2</v>
      </c>
      <c r="W40" s="2"/>
      <c r="X40" s="7">
        <f t="shared" si="26"/>
        <v>36490.225384615398</v>
      </c>
      <c r="Y40" s="2"/>
      <c r="Z40" s="6">
        <f t="shared" si="27"/>
        <v>0.78970549162971004</v>
      </c>
    </row>
    <row r="41" spans="1:26" s="24" customFormat="1" hidden="1" outlineLevel="2" x14ac:dyDescent="0.25">
      <c r="A41" s="27"/>
      <c r="B41" s="11" t="str">
        <f>CONCATENATE("          ", "6002", " - ", "STAFF SALARIES")</f>
        <v xml:space="preserve">          6002 - STAFF SALARIES</v>
      </c>
      <c r="C41" s="11"/>
      <c r="D41" s="7">
        <v>72337.210000000006</v>
      </c>
      <c r="E41" s="2"/>
      <c r="F41" s="6">
        <f t="shared" si="20"/>
        <v>4.0397436981421044E-2</v>
      </c>
      <c r="G41" s="2"/>
      <c r="H41" s="7">
        <v>70955.600201923007</v>
      </c>
      <c r="I41" s="2"/>
      <c r="J41" s="6">
        <f t="shared" si="21"/>
        <v>4.5216883844745953E-2</v>
      </c>
      <c r="K41" s="2"/>
      <c r="L41" s="7">
        <f t="shared" si="22"/>
        <v>1381.6097980769991</v>
      </c>
      <c r="M41" s="2"/>
      <c r="N41" s="6">
        <f t="shared" si="23"/>
        <v>1.9471469399811453E-2</v>
      </c>
      <c r="O41" s="11"/>
      <c r="P41" s="7">
        <v>244451.46</v>
      </c>
      <c r="Q41" s="2"/>
      <c r="R41" s="6">
        <f t="shared" si="24"/>
        <v>6.2271255919157033E-2</v>
      </c>
      <c r="S41" s="2"/>
      <c r="T41" s="7">
        <v>255440.160726923</v>
      </c>
      <c r="U41" s="2"/>
      <c r="V41" s="6">
        <f t="shared" si="25"/>
        <v>8.0996512918061481E-2</v>
      </c>
      <c r="W41" s="2"/>
      <c r="X41" s="7">
        <f t="shared" si="26"/>
        <v>-10988.700726923009</v>
      </c>
      <c r="Y41" s="2"/>
      <c r="Z41" s="6">
        <f t="shared" si="27"/>
        <v>-4.3018688586993273E-2</v>
      </c>
    </row>
    <row r="42" spans="1:26" s="24" customFormat="1" hidden="1" outlineLevel="2" x14ac:dyDescent="0.25">
      <c r="A42" s="27"/>
      <c r="B42" s="11" t="str">
        <f>CONCATENATE("          ", "6003", " - ", "STAFF HOURLY-9 MONTH")</f>
        <v xml:space="preserve">          6003 - STAFF HOURLY-9 MONTH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7"/>
      <c r="B43" s="11" t="str">
        <f>CONCATENATE("          ", "6004", " - ", "STAFF HOURLY")</f>
        <v xml:space="preserve">          6004 - STAFF HOURLY</v>
      </c>
      <c r="C43" s="11"/>
      <c r="D43" s="7">
        <v>144397.54999999999</v>
      </c>
      <c r="E43" s="2"/>
      <c r="F43" s="6">
        <f t="shared" si="20"/>
        <v>8.0640253147675908E-2</v>
      </c>
      <c r="G43" s="2"/>
      <c r="H43" s="7">
        <v>144645.736</v>
      </c>
      <c r="I43" s="2"/>
      <c r="J43" s="6">
        <f t="shared" si="21"/>
        <v>9.2176366977902519E-2</v>
      </c>
      <c r="K43" s="2"/>
      <c r="L43" s="7">
        <f t="shared" si="22"/>
        <v>-248.18600000001607</v>
      </c>
      <c r="M43" s="2"/>
      <c r="N43" s="6">
        <f t="shared" si="23"/>
        <v>-1.7158196768414663E-3</v>
      </c>
      <c r="O43" s="11"/>
      <c r="P43" s="7">
        <v>348148.04</v>
      </c>
      <c r="Q43" s="2"/>
      <c r="R43" s="6">
        <f t="shared" si="24"/>
        <v>8.8686791629687622E-2</v>
      </c>
      <c r="S43" s="2"/>
      <c r="T43" s="7">
        <v>487376.54243999999</v>
      </c>
      <c r="U43" s="2"/>
      <c r="V43" s="6">
        <f t="shared" si="25"/>
        <v>0.15454030526508711</v>
      </c>
      <c r="W43" s="2"/>
      <c r="X43" s="7">
        <f t="shared" si="26"/>
        <v>-139228.50244000001</v>
      </c>
      <c r="Y43" s="2"/>
      <c r="Z43" s="6">
        <f t="shared" si="27"/>
        <v>-0.28566927276180959</v>
      </c>
    </row>
    <row r="44" spans="1:26" s="24" customFormat="1" hidden="1" outlineLevel="2" x14ac:dyDescent="0.25">
      <c r="A44" s="27"/>
      <c r="B44" s="11" t="str">
        <f>CONCATENATE("          ", "6005", " - ", "TEMPORARY WAGES-HOURLY")</f>
        <v xml:space="preserve">          6005 - TEMPORARY WAGES-HOURLY</v>
      </c>
      <c r="C44" s="11"/>
      <c r="D44" s="7">
        <v>142550.01999999999</v>
      </c>
      <c r="E44" s="2"/>
      <c r="F44" s="6">
        <f t="shared" si="20"/>
        <v>7.9608481577466264E-2</v>
      </c>
      <c r="G44" s="2"/>
      <c r="H44" s="7">
        <v>48635.315000000002</v>
      </c>
      <c r="I44" s="2"/>
      <c r="J44" s="6">
        <f t="shared" si="21"/>
        <v>3.099314758594672E-2</v>
      </c>
      <c r="K44" s="2"/>
      <c r="L44" s="7">
        <f t="shared" si="22"/>
        <v>93914.704999999987</v>
      </c>
      <c r="M44" s="2"/>
      <c r="N44" s="6">
        <f t="shared" si="23"/>
        <v>1.9309981851664779</v>
      </c>
      <c r="O44" s="11"/>
      <c r="P44" s="7">
        <v>222052.64</v>
      </c>
      <c r="Q44" s="2"/>
      <c r="R44" s="6">
        <f t="shared" si="24"/>
        <v>5.6565408825803069E-2</v>
      </c>
      <c r="S44" s="2"/>
      <c r="T44" s="7">
        <v>111949.155</v>
      </c>
      <c r="U44" s="2"/>
      <c r="V44" s="6">
        <f t="shared" si="25"/>
        <v>3.5497515947843152E-2</v>
      </c>
      <c r="W44" s="2"/>
      <c r="X44" s="7">
        <f t="shared" si="26"/>
        <v>110103.48500000002</v>
      </c>
      <c r="Y44" s="2"/>
      <c r="Z44" s="6">
        <f t="shared" si="27"/>
        <v>0.98351331905988948</v>
      </c>
    </row>
    <row r="45" spans="1:26" s="24" customFormat="1" hidden="1" outlineLevel="2" x14ac:dyDescent="0.25">
      <c r="A45" s="27"/>
      <c r="B45" s="11" t="str">
        <f>CONCATENATE("          ", "6006", " - ", "TEMPORARY PART TIME")</f>
        <v xml:space="preserve">          6006 - TEMPORARY PART TIME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7"/>
      <c r="B46" s="11" t="str">
        <f>CONCATENATE("          ", "6007", " - ", "STUDENT HOURLY")</f>
        <v xml:space="preserve">          6007 - STUDENT HOURLY</v>
      </c>
      <c r="C46" s="11"/>
      <c r="D46" s="7">
        <v>75104.69</v>
      </c>
      <c r="E46" s="2"/>
      <c r="F46" s="6">
        <f t="shared" si="20"/>
        <v>4.1942963811904869E-2</v>
      </c>
      <c r="G46" s="2"/>
      <c r="H46" s="7">
        <v>1653.85</v>
      </c>
      <c r="I46" s="2"/>
      <c r="J46" s="6">
        <f t="shared" si="21"/>
        <v>1.0539258794770422E-3</v>
      </c>
      <c r="K46" s="2"/>
      <c r="L46" s="7">
        <f t="shared" si="22"/>
        <v>73450.84</v>
      </c>
      <c r="M46" s="2"/>
      <c r="N46" s="6">
        <f t="shared" si="23"/>
        <v>44.412032530156907</v>
      </c>
      <c r="O46" s="11"/>
      <c r="P46" s="7">
        <v>202438.01</v>
      </c>
      <c r="Q46" s="2"/>
      <c r="R46" s="6">
        <f t="shared" si="24"/>
        <v>5.156880277366669E-2</v>
      </c>
      <c r="S46" s="2"/>
      <c r="T46" s="7">
        <v>52171.14</v>
      </c>
      <c r="U46" s="2"/>
      <c r="V46" s="6">
        <f t="shared" si="25"/>
        <v>1.65427409806457E-2</v>
      </c>
      <c r="W46" s="2"/>
      <c r="X46" s="7">
        <f t="shared" si="26"/>
        <v>150266.87</v>
      </c>
      <c r="Y46" s="2"/>
      <c r="Z46" s="6">
        <f t="shared" si="27"/>
        <v>2.8802680945825605</v>
      </c>
    </row>
    <row r="47" spans="1:26" s="24" customFormat="1" hidden="1" outlineLevel="2" x14ac:dyDescent="0.25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7">
        <v>13667.22</v>
      </c>
      <c r="E47" s="2"/>
      <c r="F47" s="6">
        <f t="shared" si="20"/>
        <v>7.6325954327132227E-3</v>
      </c>
      <c r="G47" s="2"/>
      <c r="H47" s="7">
        <v>151334.21</v>
      </c>
      <c r="I47" s="2"/>
      <c r="J47" s="6">
        <f t="shared" si="21"/>
        <v>9.643863734269334E-2</v>
      </c>
      <c r="K47" s="2"/>
      <c r="L47" s="7">
        <f t="shared" si="22"/>
        <v>-137666.99</v>
      </c>
      <c r="M47" s="2"/>
      <c r="N47" s="6">
        <f t="shared" si="23"/>
        <v>-0.90968849673844399</v>
      </c>
      <c r="O47" s="11"/>
      <c r="P47" s="7">
        <v>18254.88</v>
      </c>
      <c r="Q47" s="2"/>
      <c r="R47" s="6">
        <f t="shared" si="24"/>
        <v>4.6502250559415821E-3</v>
      </c>
      <c r="S47" s="2"/>
      <c r="T47" s="7">
        <v>293357.27500000002</v>
      </c>
      <c r="U47" s="2"/>
      <c r="V47" s="6">
        <f t="shared" si="25"/>
        <v>9.3019501109484121E-2</v>
      </c>
      <c r="W47" s="2"/>
      <c r="X47" s="7">
        <f t="shared" si="26"/>
        <v>-275102.39500000002</v>
      </c>
      <c r="Y47" s="2"/>
      <c r="Z47" s="6">
        <f t="shared" si="27"/>
        <v>-0.93777253350884171</v>
      </c>
    </row>
    <row r="48" spans="1:26" s="24" customFormat="1" hidden="1" outlineLevel="2" x14ac:dyDescent="0.25">
      <c r="A48" s="27"/>
      <c r="B48" s="11" t="str">
        <f>CONCATENATE("          ", "6009", " - ", "TEMPORARY-SEASONAL")</f>
        <v xml:space="preserve">          6009 - TEMPORARY-SEASONAL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25">
      <c r="A49" s="27"/>
      <c r="B49" s="11" t="str">
        <f>CONCATENATE("          ", "6010", " - ", "GRATUITY")</f>
        <v xml:space="preserve">          6010 - GRATUITY</v>
      </c>
      <c r="C49" s="11"/>
      <c r="D49" s="7"/>
      <c r="E49" s="2"/>
      <c r="F49" s="6">
        <f t="shared" si="20"/>
        <v>0</v>
      </c>
      <c r="G49" s="2"/>
      <c r="H49" s="7">
        <v>0</v>
      </c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/>
      <c r="Q49" s="2"/>
      <c r="R49" s="6">
        <f t="shared" si="24"/>
        <v>0</v>
      </c>
      <c r="S49" s="2"/>
      <c r="T49" s="7">
        <v>0</v>
      </c>
      <c r="U49" s="2"/>
      <c r="V49" s="6">
        <f t="shared" si="25"/>
        <v>0</v>
      </c>
      <c r="W49" s="2"/>
      <c r="X49" s="7">
        <f t="shared" si="26"/>
        <v>0</v>
      </c>
      <c r="Y49" s="2"/>
      <c r="Z49" s="6">
        <f t="shared" si="27"/>
        <v>0</v>
      </c>
    </row>
    <row r="50" spans="1:26" s="28" customFormat="1" outlineLevel="1" collapsed="1" x14ac:dyDescent="0.25">
      <c r="A50" s="29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95.23</v>
      </c>
      <c r="E50" s="1"/>
      <c r="F50" s="5">
        <f t="shared" ref="F50:F58" si="28">IF(D$12=0,0,D50/D$12)</f>
        <v>5.3182144068602114E-5</v>
      </c>
      <c r="G50" s="1"/>
      <c r="H50" s="1">
        <f>SUM(OSRRefH22_2x_0)</f>
        <v>1319</v>
      </c>
      <c r="I50" s="1"/>
      <c r="J50" s="5">
        <f t="shared" ref="J50:J58" si="29">IF(H$12=0,0,H50/H$12)</f>
        <v>8.4054069899339038E-4</v>
      </c>
      <c r="K50" s="1"/>
      <c r="L50" s="1">
        <f t="shared" ref="L50:L58" si="30">+D50-H50</f>
        <v>-1223.77</v>
      </c>
      <c r="M50" s="1"/>
      <c r="N50" s="5">
        <f t="shared" ref="N50:N58" si="31">IF(H50=0,0,L50/H50)</f>
        <v>-0.92780136467020469</v>
      </c>
      <c r="O50" s="14"/>
      <c r="P50" s="1">
        <f>SUM(OSRRefP22_2x_0)</f>
        <v>3593.19</v>
      </c>
      <c r="Q50" s="1"/>
      <c r="R50" s="5">
        <f t="shared" ref="R50:R58" si="32">IF(P$12=0,0,P50/P$12)</f>
        <v>9.1532467859327111E-4</v>
      </c>
      <c r="S50" s="1"/>
      <c r="T50" s="1">
        <f>SUM(OSRRefT22_2x_0)</f>
        <v>5276</v>
      </c>
      <c r="U50" s="1"/>
      <c r="V50" s="5">
        <f t="shared" ref="V50:V58" si="33">IF(T$12=0,0,T50/T$12)</f>
        <v>1.6729460275141913E-3</v>
      </c>
      <c r="W50" s="1"/>
      <c r="X50" s="1">
        <f t="shared" ref="X50:X58" si="34">+P50-T50</f>
        <v>-1682.81</v>
      </c>
      <c r="Y50" s="1"/>
      <c r="Z50" s="5">
        <f t="shared" ref="Z50:Z58" si="35">IF(T50=0,0,X50/T50)</f>
        <v>-0.31895564821834721</v>
      </c>
    </row>
    <row r="51" spans="1:26" s="24" customFormat="1" hidden="1" outlineLevel="2" x14ac:dyDescent="0.25">
      <c r="A51" s="27"/>
      <c r="B51" s="11" t="str">
        <f>CONCATENATE("          ", "6362", " - ", "ADVERTISING EXPENSE")</f>
        <v xml:space="preserve">          6362 - ADVERTISING EXPENSE</v>
      </c>
      <c r="C51" s="11"/>
      <c r="D51" s="7">
        <v>95.23</v>
      </c>
      <c r="E51" s="2"/>
      <c r="F51" s="6">
        <f t="shared" si="28"/>
        <v>5.3182144068602114E-5</v>
      </c>
      <c r="G51" s="2"/>
      <c r="H51" s="7">
        <v>1319</v>
      </c>
      <c r="I51" s="2"/>
      <c r="J51" s="6">
        <f t="shared" si="29"/>
        <v>8.4054069899339038E-4</v>
      </c>
      <c r="K51" s="2"/>
      <c r="L51" s="7">
        <f t="shared" si="30"/>
        <v>-1223.77</v>
      </c>
      <c r="M51" s="2"/>
      <c r="N51" s="6">
        <f t="shared" si="31"/>
        <v>-0.92780136467020469</v>
      </c>
      <c r="O51" s="11"/>
      <c r="P51" s="7">
        <v>3593.19</v>
      </c>
      <c r="Q51" s="2"/>
      <c r="R51" s="6">
        <f t="shared" si="32"/>
        <v>9.1532467859327111E-4</v>
      </c>
      <c r="S51" s="2"/>
      <c r="T51" s="7">
        <v>5276</v>
      </c>
      <c r="U51" s="2"/>
      <c r="V51" s="6">
        <f t="shared" si="33"/>
        <v>1.6729460275141913E-3</v>
      </c>
      <c r="W51" s="2"/>
      <c r="X51" s="7">
        <f t="shared" si="34"/>
        <v>-1682.81</v>
      </c>
      <c r="Y51" s="2"/>
      <c r="Z51" s="6">
        <f t="shared" si="35"/>
        <v>-0.31895564821834721</v>
      </c>
    </row>
    <row r="52" spans="1:26" s="28" customFormat="1" outlineLevel="1" collapsed="1" x14ac:dyDescent="0.25">
      <c r="A52" s="29"/>
      <c r="B52" s="14" t="str">
        <f>CONCATENATE("     ","Bad Debts/Over/Short                              ")</f>
        <v xml:space="preserve">     Bad Debts/Over/Short                              </v>
      </c>
      <c r="C52" s="14"/>
      <c r="D52" s="1">
        <f>SUM(OSRRefD22_3x_0)</f>
        <v>-11.81</v>
      </c>
      <c r="E52" s="1"/>
      <c r="F52" s="5">
        <f t="shared" si="28"/>
        <v>-6.5954123852797546E-6</v>
      </c>
      <c r="G52" s="1"/>
      <c r="H52" s="1">
        <f>SUM(OSRRefH22_3x_0)</f>
        <v>43</v>
      </c>
      <c r="I52" s="1"/>
      <c r="J52" s="5">
        <f t="shared" si="29"/>
        <v>2.7402009140800445E-5</v>
      </c>
      <c r="K52" s="1"/>
      <c r="L52" s="1">
        <f t="shared" si="30"/>
        <v>-54.81</v>
      </c>
      <c r="M52" s="1"/>
      <c r="N52" s="5">
        <f t="shared" si="31"/>
        <v>-1.2746511627906978</v>
      </c>
      <c r="O52" s="14"/>
      <c r="P52" s="1">
        <f>SUM(OSRRefP22_3x_0)</f>
        <v>-127</v>
      </c>
      <c r="Q52" s="1"/>
      <c r="R52" s="5">
        <f t="shared" si="32"/>
        <v>-3.235181946441614E-5</v>
      </c>
      <c r="S52" s="1"/>
      <c r="T52" s="1">
        <f>SUM(OSRRefT22_3x_0)</f>
        <v>154</v>
      </c>
      <c r="U52" s="1"/>
      <c r="V52" s="5">
        <f t="shared" si="33"/>
        <v>4.8831252508943409E-5</v>
      </c>
      <c r="W52" s="1"/>
      <c r="X52" s="1">
        <f t="shared" si="34"/>
        <v>-281</v>
      </c>
      <c r="Y52" s="1"/>
      <c r="Z52" s="5">
        <f t="shared" si="35"/>
        <v>-1.8246753246753247</v>
      </c>
    </row>
    <row r="53" spans="1:26" s="24" customFormat="1" hidden="1" outlineLevel="2" x14ac:dyDescent="0.25">
      <c r="A53" s="27"/>
      <c r="B53" s="11" t="str">
        <f>CONCATENATE("          ", "6272", " - ", "CASH (OVER/SHORT)")</f>
        <v xml:space="preserve">          6272 - CASH (OVER/SHORT)</v>
      </c>
      <c r="C53" s="11"/>
      <c r="D53" s="7">
        <v>-11.81</v>
      </c>
      <c r="E53" s="2"/>
      <c r="F53" s="6">
        <f t="shared" si="28"/>
        <v>-6.5954123852797546E-6</v>
      </c>
      <c r="G53" s="2"/>
      <c r="H53" s="7">
        <v>43</v>
      </c>
      <c r="I53" s="2"/>
      <c r="J53" s="6">
        <f t="shared" si="29"/>
        <v>2.7402009140800445E-5</v>
      </c>
      <c r="K53" s="2"/>
      <c r="L53" s="7">
        <f t="shared" si="30"/>
        <v>-54.81</v>
      </c>
      <c r="M53" s="2"/>
      <c r="N53" s="6">
        <f t="shared" si="31"/>
        <v>-1.2746511627906978</v>
      </c>
      <c r="O53" s="11"/>
      <c r="P53" s="7">
        <v>-127</v>
      </c>
      <c r="Q53" s="2"/>
      <c r="R53" s="6">
        <f t="shared" si="32"/>
        <v>-3.235181946441614E-5</v>
      </c>
      <c r="S53" s="2"/>
      <c r="T53" s="7">
        <v>154</v>
      </c>
      <c r="U53" s="2"/>
      <c r="V53" s="6">
        <f t="shared" si="33"/>
        <v>4.8831252508943409E-5</v>
      </c>
      <c r="W53" s="2"/>
      <c r="X53" s="7">
        <f t="shared" si="34"/>
        <v>-281</v>
      </c>
      <c r="Y53" s="2"/>
      <c r="Z53" s="6">
        <f t="shared" si="35"/>
        <v>-1.8246753246753247</v>
      </c>
    </row>
    <row r="54" spans="1:26" s="28" customFormat="1" outlineLevel="1" collapsed="1" x14ac:dyDescent="0.25">
      <c r="A54" s="29"/>
      <c r="B54" s="14" t="str">
        <f>CONCATENATE("     ","Bank/card Fees                                    ")</f>
        <v xml:space="preserve">     Bank/card Fees                                    </v>
      </c>
      <c r="C54" s="14"/>
      <c r="D54" s="1">
        <f>SUM(OSRRefD22_4x_0)</f>
        <v>6436.56</v>
      </c>
      <c r="E54" s="1"/>
      <c r="F54" s="5">
        <f t="shared" si="28"/>
        <v>3.5945611805754661E-3</v>
      </c>
      <c r="G54" s="1"/>
      <c r="H54" s="1">
        <f>SUM(OSRRefH22_4x_0)</f>
        <v>7947</v>
      </c>
      <c r="I54" s="1"/>
      <c r="J54" s="5">
        <f t="shared" si="29"/>
        <v>5.0642736428358403E-3</v>
      </c>
      <c r="K54" s="1"/>
      <c r="L54" s="1">
        <f t="shared" si="30"/>
        <v>-1510.4399999999996</v>
      </c>
      <c r="M54" s="1"/>
      <c r="N54" s="5">
        <f t="shared" si="31"/>
        <v>-0.19006417516043786</v>
      </c>
      <c r="O54" s="14"/>
      <c r="P54" s="1">
        <f>SUM(OSRRefP22_4x_0)</f>
        <v>14844.43</v>
      </c>
      <c r="Q54" s="1"/>
      <c r="R54" s="5">
        <f t="shared" si="32"/>
        <v>3.7814513339540384E-3</v>
      </c>
      <c r="S54" s="1"/>
      <c r="T54" s="1">
        <f>SUM(OSRRefT22_4x_0)</f>
        <v>19060</v>
      </c>
      <c r="U54" s="1"/>
      <c r="V54" s="5">
        <f t="shared" si="33"/>
        <v>6.0436602131198796E-3</v>
      </c>
      <c r="W54" s="1"/>
      <c r="X54" s="1">
        <f t="shared" si="34"/>
        <v>-4215.57</v>
      </c>
      <c r="Y54" s="1"/>
      <c r="Z54" s="5">
        <f t="shared" si="35"/>
        <v>-0.22117366211962222</v>
      </c>
    </row>
    <row r="55" spans="1:26" s="24" customFormat="1" hidden="1" outlineLevel="2" x14ac:dyDescent="0.25">
      <c r="A55" s="27"/>
      <c r="B55" s="11" t="str">
        <f>CONCATENATE("          ", "6381", " - ", "BANK/CREDIT CARD FEES")</f>
        <v xml:space="preserve">          6381 - BANK/CREDIT CARD FEES</v>
      </c>
      <c r="C55" s="11"/>
      <c r="D55" s="7">
        <v>6436.56</v>
      </c>
      <c r="E55" s="2"/>
      <c r="F55" s="6">
        <f t="shared" si="28"/>
        <v>3.5945611805754661E-3</v>
      </c>
      <c r="G55" s="2"/>
      <c r="H55" s="7">
        <v>7947</v>
      </c>
      <c r="I55" s="2"/>
      <c r="J55" s="6">
        <f t="shared" si="29"/>
        <v>5.0642736428358403E-3</v>
      </c>
      <c r="K55" s="2"/>
      <c r="L55" s="7">
        <f t="shared" si="30"/>
        <v>-1510.4399999999996</v>
      </c>
      <c r="M55" s="2"/>
      <c r="N55" s="6">
        <f t="shared" si="31"/>
        <v>-0.19006417516043786</v>
      </c>
      <c r="O55" s="11"/>
      <c r="P55" s="7">
        <v>14844.43</v>
      </c>
      <c r="Q55" s="2"/>
      <c r="R55" s="6">
        <f t="shared" si="32"/>
        <v>3.7814513339540384E-3</v>
      </c>
      <c r="S55" s="2"/>
      <c r="T55" s="7">
        <v>19060</v>
      </c>
      <c r="U55" s="2"/>
      <c r="V55" s="6">
        <f t="shared" si="33"/>
        <v>6.0436602131198796E-3</v>
      </c>
      <c r="W55" s="2"/>
      <c r="X55" s="7">
        <f t="shared" si="34"/>
        <v>-4215.57</v>
      </c>
      <c r="Y55" s="2"/>
      <c r="Z55" s="6">
        <f t="shared" si="35"/>
        <v>-0.22117366211962222</v>
      </c>
    </row>
    <row r="56" spans="1:26" s="28" customFormat="1" outlineLevel="1" collapsed="1" x14ac:dyDescent="0.25">
      <c r="A56" s="29"/>
      <c r="B56" s="14" t="str">
        <f>CONCATENATE("     ","Depreciation                                      ")</f>
        <v xml:space="preserve">     Depreciation                                      </v>
      </c>
      <c r="C56" s="14"/>
      <c r="D56" s="1">
        <f>SUM(OSRRefD22_5x_0)</f>
        <v>33542.080000000002</v>
      </c>
      <c r="E56" s="1"/>
      <c r="F56" s="5">
        <f t="shared" si="28"/>
        <v>1.8731909386963959E-2</v>
      </c>
      <c r="G56" s="1"/>
      <c r="H56" s="1">
        <f>SUM(OSRRefH22_5x_0)</f>
        <v>33269</v>
      </c>
      <c r="I56" s="1"/>
      <c r="J56" s="5">
        <f t="shared" si="29"/>
        <v>2.120087074663465E-2</v>
      </c>
      <c r="K56" s="1"/>
      <c r="L56" s="1">
        <f t="shared" si="30"/>
        <v>273.08000000000175</v>
      </c>
      <c r="M56" s="1"/>
      <c r="N56" s="5">
        <f t="shared" si="31"/>
        <v>8.208241906880331E-3</v>
      </c>
      <c r="O56" s="14"/>
      <c r="P56" s="1">
        <f>SUM(OSRRefP22_5x_0)</f>
        <v>134256.46000000002</v>
      </c>
      <c r="Q56" s="1"/>
      <c r="R56" s="5">
        <f t="shared" si="32"/>
        <v>3.4200320912217384E-2</v>
      </c>
      <c r="S56" s="1"/>
      <c r="T56" s="1">
        <f>SUM(OSRRefT22_5x_0)</f>
        <v>133164</v>
      </c>
      <c r="U56" s="1"/>
      <c r="V56" s="5">
        <f t="shared" si="33"/>
        <v>4.2224447461694417E-2</v>
      </c>
      <c r="W56" s="1"/>
      <c r="X56" s="1">
        <f t="shared" si="34"/>
        <v>1092.460000000021</v>
      </c>
      <c r="Y56" s="1"/>
      <c r="Z56" s="5">
        <f t="shared" si="35"/>
        <v>8.2038689135203284E-3</v>
      </c>
    </row>
    <row r="57" spans="1:26" s="24" customFormat="1" hidden="1" outlineLevel="2" x14ac:dyDescent="0.25">
      <c r="A57" s="27"/>
      <c r="B57" s="11" t="str">
        <f>CONCATENATE("          ", "6321", " - ", "BUILDING DEPRECIATION")</f>
        <v xml:space="preserve">          6321 - BUILDING DEPRECIATION</v>
      </c>
      <c r="C57" s="11"/>
      <c r="D57" s="7">
        <v>23539.4</v>
      </c>
      <c r="E57" s="2"/>
      <c r="F57" s="6">
        <f t="shared" si="28"/>
        <v>1.3145812896024915E-2</v>
      </c>
      <c r="G57" s="2"/>
      <c r="H57" s="7"/>
      <c r="I57" s="2"/>
      <c r="J57" s="6">
        <f t="shared" si="29"/>
        <v>0</v>
      </c>
      <c r="K57" s="2"/>
      <c r="L57" s="7">
        <f t="shared" si="30"/>
        <v>23539.4</v>
      </c>
      <c r="M57" s="2"/>
      <c r="N57" s="6">
        <f t="shared" si="31"/>
        <v>0</v>
      </c>
      <c r="O57" s="11"/>
      <c r="P57" s="7">
        <v>94245.74</v>
      </c>
      <c r="Q57" s="2"/>
      <c r="R57" s="6">
        <f t="shared" si="32"/>
        <v>2.4008040675356716E-2</v>
      </c>
      <c r="S57" s="2"/>
      <c r="T57" s="7"/>
      <c r="U57" s="2"/>
      <c r="V57" s="6">
        <f t="shared" si="33"/>
        <v>0</v>
      </c>
      <c r="W57" s="2"/>
      <c r="X57" s="7">
        <f t="shared" si="34"/>
        <v>94245.74</v>
      </c>
      <c r="Y57" s="2"/>
      <c r="Z57" s="6">
        <f t="shared" si="35"/>
        <v>0</v>
      </c>
    </row>
    <row r="58" spans="1:26" s="24" customFormat="1" hidden="1" outlineLevel="2" x14ac:dyDescent="0.25">
      <c r="A58" s="27"/>
      <c r="B58" s="11" t="str">
        <f>CONCATENATE("          ", "6322", " - ", "EQUIPMENT DEPRECIATION EXPENSE")</f>
        <v xml:space="preserve">          6322 - EQUIPMENT DEPRECIATION EXPENSE</v>
      </c>
      <c r="C58" s="11"/>
      <c r="D58" s="7">
        <v>10002.68</v>
      </c>
      <c r="E58" s="2"/>
      <c r="F58" s="6">
        <f t="shared" si="28"/>
        <v>5.5860964909390425E-3</v>
      </c>
      <c r="G58" s="2"/>
      <c r="H58" s="7">
        <v>33269</v>
      </c>
      <c r="I58" s="2"/>
      <c r="J58" s="6">
        <f t="shared" si="29"/>
        <v>2.120087074663465E-2</v>
      </c>
      <c r="K58" s="2"/>
      <c r="L58" s="7">
        <f t="shared" si="30"/>
        <v>-23266.32</v>
      </c>
      <c r="M58" s="2"/>
      <c r="N58" s="6">
        <f t="shared" si="31"/>
        <v>-0.69933932489705131</v>
      </c>
      <c r="O58" s="11"/>
      <c r="P58" s="7">
        <v>40010.720000000001</v>
      </c>
      <c r="Q58" s="2"/>
      <c r="R58" s="6">
        <f t="shared" si="32"/>
        <v>1.0192280236860663E-2</v>
      </c>
      <c r="S58" s="2"/>
      <c r="T58" s="7">
        <v>133164</v>
      </c>
      <c r="U58" s="2"/>
      <c r="V58" s="6">
        <f t="shared" si="33"/>
        <v>4.2224447461694417E-2</v>
      </c>
      <c r="W58" s="2"/>
      <c r="X58" s="7">
        <f t="shared" si="34"/>
        <v>-93153.279999999999</v>
      </c>
      <c r="Y58" s="2"/>
      <c r="Z58" s="6">
        <f t="shared" si="35"/>
        <v>-0.6995380132768616</v>
      </c>
    </row>
    <row r="59" spans="1:26" s="28" customFormat="1" outlineLevel="1" collapsed="1" x14ac:dyDescent="0.25">
      <c r="A59" s="29"/>
      <c r="B59" s="14" t="str">
        <f>CONCATENATE("     ","Donations                                         ")</f>
        <v xml:space="preserve">     Donations                                         </v>
      </c>
      <c r="C59" s="14"/>
      <c r="D59" s="1">
        <f>SUM(OSRRefD22_6x_0)</f>
        <v>10498.56</v>
      </c>
      <c r="E59" s="1"/>
      <c r="F59" s="5">
        <f t="shared" ref="F59:F78" si="36">IF(D$12=0,0,D59/D$12)</f>
        <v>5.8630256267233373E-3</v>
      </c>
      <c r="G59" s="1"/>
      <c r="H59" s="1">
        <f>SUM(OSRRefH22_6x_0)</f>
        <v>15500</v>
      </c>
      <c r="I59" s="1"/>
      <c r="J59" s="5">
        <f t="shared" ref="J59:J78" si="37">IF(H$12=0,0,H59/H$12)</f>
        <v>9.8774684112187643E-3</v>
      </c>
      <c r="K59" s="1"/>
      <c r="L59" s="1">
        <f t="shared" ref="L59:L78" si="38">+D59-H59</f>
        <v>-5001.4400000000005</v>
      </c>
      <c r="M59" s="1"/>
      <c r="N59" s="5">
        <f t="shared" ref="N59:N78" si="39">IF(H59=0,0,L59/H59)</f>
        <v>-0.32267354838709683</v>
      </c>
      <c r="O59" s="14"/>
      <c r="P59" s="1">
        <f>SUM(OSRRefP22_6x_0)</f>
        <v>24413.74</v>
      </c>
      <c r="Q59" s="1"/>
      <c r="R59" s="5">
        <f t="shared" ref="R59:R78" si="40">IF(P$12=0,0,P59/P$12)</f>
        <v>6.219125267174763E-3</v>
      </c>
      <c r="S59" s="1"/>
      <c r="T59" s="1">
        <f>SUM(OSRRefT22_6x_0)</f>
        <v>46500</v>
      </c>
      <c r="U59" s="1"/>
      <c r="V59" s="5">
        <f t="shared" ref="V59:V78" si="41">IF(T$12=0,0,T59/T$12)</f>
        <v>1.4744501569258887E-2</v>
      </c>
      <c r="W59" s="1"/>
      <c r="X59" s="1">
        <f t="shared" ref="X59:X78" si="42">+P59-T59</f>
        <v>-22086.26</v>
      </c>
      <c r="Y59" s="1"/>
      <c r="Z59" s="5">
        <f t="shared" ref="Z59:Z78" si="43">IF(T59=0,0,X59/T59)</f>
        <v>-0.4749733333333333</v>
      </c>
    </row>
    <row r="60" spans="1:26" s="24" customFormat="1" hidden="1" outlineLevel="2" x14ac:dyDescent="0.25">
      <c r="A60" s="27"/>
      <c r="B60" s="11" t="str">
        <f>CONCATENATE("          ", "6399", " - ", "DONATION-ON CAMPUS")</f>
        <v xml:space="preserve">          6399 - DONATION-ON CAMPUS</v>
      </c>
      <c r="C60" s="11"/>
      <c r="D60" s="7">
        <v>10498.56</v>
      </c>
      <c r="E60" s="2"/>
      <c r="F60" s="6">
        <f t="shared" si="36"/>
        <v>5.8630256267233373E-3</v>
      </c>
      <c r="G60" s="2"/>
      <c r="H60" s="7">
        <v>15500</v>
      </c>
      <c r="I60" s="2"/>
      <c r="J60" s="6">
        <f t="shared" si="37"/>
        <v>9.8774684112187643E-3</v>
      </c>
      <c r="K60" s="2"/>
      <c r="L60" s="7">
        <f t="shared" si="38"/>
        <v>-5001.4400000000005</v>
      </c>
      <c r="M60" s="2"/>
      <c r="N60" s="6">
        <f t="shared" si="39"/>
        <v>-0.32267354838709683</v>
      </c>
      <c r="O60" s="11"/>
      <c r="P60" s="7">
        <v>24413.74</v>
      </c>
      <c r="Q60" s="2"/>
      <c r="R60" s="6">
        <f t="shared" si="40"/>
        <v>6.219125267174763E-3</v>
      </c>
      <c r="S60" s="2"/>
      <c r="T60" s="7">
        <v>46500</v>
      </c>
      <c r="U60" s="2"/>
      <c r="V60" s="6">
        <f t="shared" si="41"/>
        <v>1.4744501569258887E-2</v>
      </c>
      <c r="W60" s="2"/>
      <c r="X60" s="7">
        <f t="shared" si="42"/>
        <v>-22086.26</v>
      </c>
      <c r="Y60" s="2"/>
      <c r="Z60" s="6">
        <f t="shared" si="43"/>
        <v>-0.4749733333333333</v>
      </c>
    </row>
    <row r="61" spans="1:26" s="28" customFormat="1" outlineLevel="1" collapsed="1" x14ac:dyDescent="0.25">
      <c r="A61" s="29"/>
      <c r="B61" s="14" t="str">
        <f>CONCATENATE("     ","Employees' Appreciation                           ")</f>
        <v xml:space="preserve">     Employees' Appreciation                           </v>
      </c>
      <c r="C61" s="14"/>
      <c r="D61" s="1">
        <f>SUM(OSRRefD22_7x_0)</f>
        <v>123.17</v>
      </c>
      <c r="E61" s="1"/>
      <c r="F61" s="5">
        <f t="shared" si="36"/>
        <v>6.8785515960618739E-5</v>
      </c>
      <c r="G61" s="1"/>
      <c r="H61" s="1">
        <f>SUM(OSRRefH22_7x_0)</f>
        <v>240</v>
      </c>
      <c r="I61" s="1"/>
      <c r="J61" s="5">
        <f t="shared" si="37"/>
        <v>1.5294144636725828E-4</v>
      </c>
      <c r="K61" s="1"/>
      <c r="L61" s="1">
        <f t="shared" si="38"/>
        <v>-116.83</v>
      </c>
      <c r="M61" s="1"/>
      <c r="N61" s="5">
        <f t="shared" si="39"/>
        <v>-0.48679166666666668</v>
      </c>
      <c r="O61" s="14"/>
      <c r="P61" s="1">
        <f>SUM(OSRRefP22_7x_0)</f>
        <v>155.66</v>
      </c>
      <c r="Q61" s="1"/>
      <c r="R61" s="5">
        <f t="shared" si="40"/>
        <v>3.9652631636464695E-5</v>
      </c>
      <c r="S61" s="1"/>
      <c r="T61" s="1">
        <f>SUM(OSRRefT22_7x_0)</f>
        <v>1080</v>
      </c>
      <c r="U61" s="1"/>
      <c r="V61" s="5">
        <f t="shared" si="41"/>
        <v>3.4245293967310965E-4</v>
      </c>
      <c r="W61" s="1"/>
      <c r="X61" s="1">
        <f t="shared" si="42"/>
        <v>-924.34</v>
      </c>
      <c r="Y61" s="1"/>
      <c r="Z61" s="5">
        <f t="shared" si="43"/>
        <v>-0.85587037037037039</v>
      </c>
    </row>
    <row r="62" spans="1:26" s="24" customFormat="1" hidden="1" outlineLevel="2" x14ac:dyDescent="0.25">
      <c r="A62" s="27"/>
      <c r="B62" s="11" t="str">
        <f>CONCATENATE("          ", "6277", " - ", "EMPLOYEE APPRECIATION")</f>
        <v xml:space="preserve">          6277 - EMPLOYEE APPRECIATION</v>
      </c>
      <c r="C62" s="11"/>
      <c r="D62" s="7">
        <v>123.17</v>
      </c>
      <c r="E62" s="2"/>
      <c r="F62" s="6">
        <f t="shared" si="36"/>
        <v>6.8785515960618739E-5</v>
      </c>
      <c r="G62" s="2"/>
      <c r="H62" s="7">
        <v>240</v>
      </c>
      <c r="I62" s="2"/>
      <c r="J62" s="6">
        <f t="shared" si="37"/>
        <v>1.5294144636725828E-4</v>
      </c>
      <c r="K62" s="2"/>
      <c r="L62" s="7">
        <f t="shared" si="38"/>
        <v>-116.83</v>
      </c>
      <c r="M62" s="2"/>
      <c r="N62" s="6">
        <f t="shared" si="39"/>
        <v>-0.48679166666666668</v>
      </c>
      <c r="O62" s="11"/>
      <c r="P62" s="7">
        <v>155.66</v>
      </c>
      <c r="Q62" s="2"/>
      <c r="R62" s="6">
        <f t="shared" si="40"/>
        <v>3.9652631636464695E-5</v>
      </c>
      <c r="S62" s="2"/>
      <c r="T62" s="7">
        <v>1080</v>
      </c>
      <c r="U62" s="2"/>
      <c r="V62" s="6">
        <f t="shared" si="41"/>
        <v>3.4245293967310965E-4</v>
      </c>
      <c r="W62" s="2"/>
      <c r="X62" s="7">
        <f t="shared" si="42"/>
        <v>-924.34</v>
      </c>
      <c r="Y62" s="2"/>
      <c r="Z62" s="6">
        <f t="shared" si="43"/>
        <v>-0.85587037037037039</v>
      </c>
    </row>
    <row r="63" spans="1:26" s="28" customFormat="1" outlineLevel="1" collapsed="1" x14ac:dyDescent="0.25">
      <c r="A63" s="29"/>
      <c r="B63" s="14" t="str">
        <f>CONCATENATE("     ","Equipment Rental                                  ")</f>
        <v xml:space="preserve">     Equipment Rental                                  </v>
      </c>
      <c r="C63" s="14"/>
      <c r="D63" s="1">
        <f>SUM(OSRRefD22_8x_0)</f>
        <v>2715.16</v>
      </c>
      <c r="E63" s="1"/>
      <c r="F63" s="5">
        <f t="shared" si="36"/>
        <v>1.5163082042350699E-3</v>
      </c>
      <c r="G63" s="1"/>
      <c r="H63" s="1">
        <f>SUM(OSRRefH22_8x_0)</f>
        <v>1570</v>
      </c>
      <c r="I63" s="1"/>
      <c r="J63" s="5">
        <f t="shared" si="37"/>
        <v>1.0004919616524814E-3</v>
      </c>
      <c r="K63" s="1"/>
      <c r="L63" s="1">
        <f t="shared" si="38"/>
        <v>1145.1599999999999</v>
      </c>
      <c r="M63" s="1"/>
      <c r="N63" s="5">
        <f t="shared" si="39"/>
        <v>0.72940127388535025</v>
      </c>
      <c r="O63" s="14"/>
      <c r="P63" s="1">
        <f>SUM(OSRRefP22_8x_0)</f>
        <v>9724.2000000000007</v>
      </c>
      <c r="Q63" s="1"/>
      <c r="R63" s="5">
        <f t="shared" si="40"/>
        <v>2.4771304160305153E-3</v>
      </c>
      <c r="S63" s="1"/>
      <c r="T63" s="1">
        <f>SUM(OSRRefT22_8x_0)</f>
        <v>6280</v>
      </c>
      <c r="U63" s="1"/>
      <c r="V63" s="5">
        <f t="shared" si="41"/>
        <v>1.9913004269880821E-3</v>
      </c>
      <c r="W63" s="1"/>
      <c r="X63" s="1">
        <f t="shared" si="42"/>
        <v>3444.2000000000007</v>
      </c>
      <c r="Y63" s="1"/>
      <c r="Z63" s="5">
        <f t="shared" si="43"/>
        <v>0.54843949044585993</v>
      </c>
    </row>
    <row r="64" spans="1:26" s="24" customFormat="1" hidden="1" outlineLevel="2" x14ac:dyDescent="0.25">
      <c r="A64" s="27"/>
      <c r="B64" s="11" t="str">
        <f>CONCATENATE("          ", "6351", " - ", "EQUIPMENT RENTAL")</f>
        <v xml:space="preserve">          6351 - EQUIPMENT RENTAL</v>
      </c>
      <c r="C64" s="11"/>
      <c r="D64" s="7">
        <v>2715.16</v>
      </c>
      <c r="E64" s="2"/>
      <c r="F64" s="6">
        <f t="shared" si="36"/>
        <v>1.5163082042350699E-3</v>
      </c>
      <c r="G64" s="2"/>
      <c r="H64" s="7">
        <v>1570</v>
      </c>
      <c r="I64" s="2"/>
      <c r="J64" s="6">
        <f t="shared" si="37"/>
        <v>1.0004919616524814E-3</v>
      </c>
      <c r="K64" s="2"/>
      <c r="L64" s="7">
        <f t="shared" si="38"/>
        <v>1145.1599999999999</v>
      </c>
      <c r="M64" s="2"/>
      <c r="N64" s="6">
        <f t="shared" si="39"/>
        <v>0.72940127388535025</v>
      </c>
      <c r="O64" s="11"/>
      <c r="P64" s="7">
        <v>9724.2000000000007</v>
      </c>
      <c r="Q64" s="2"/>
      <c r="R64" s="6">
        <f t="shared" si="40"/>
        <v>2.4771304160305153E-3</v>
      </c>
      <c r="S64" s="2"/>
      <c r="T64" s="7">
        <v>6280</v>
      </c>
      <c r="U64" s="2"/>
      <c r="V64" s="6">
        <f t="shared" si="41"/>
        <v>1.9913004269880821E-3</v>
      </c>
      <c r="W64" s="2"/>
      <c r="X64" s="7">
        <f t="shared" si="42"/>
        <v>3444.2000000000007</v>
      </c>
      <c r="Y64" s="2"/>
      <c r="Z64" s="6">
        <f t="shared" si="43"/>
        <v>0.54843949044585993</v>
      </c>
    </row>
    <row r="65" spans="1:26" s="28" customFormat="1" outlineLevel="1" collapsed="1" x14ac:dyDescent="0.25">
      <c r="A65" s="29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SUM(OSRRefD22_9x_0)</f>
        <v>2065.66</v>
      </c>
      <c r="E65" s="1"/>
      <c r="F65" s="5">
        <f t="shared" si="36"/>
        <v>1.1535884460437745E-3</v>
      </c>
      <c r="G65" s="1"/>
      <c r="H65" s="1">
        <f>SUM(OSRRefH22_9x_0)</f>
        <v>530</v>
      </c>
      <c r="I65" s="1"/>
      <c r="J65" s="5">
        <f t="shared" si="37"/>
        <v>3.3774569406102873E-4</v>
      </c>
      <c r="K65" s="1"/>
      <c r="L65" s="1">
        <f t="shared" si="38"/>
        <v>1535.6599999999999</v>
      </c>
      <c r="M65" s="1"/>
      <c r="N65" s="5">
        <f t="shared" si="39"/>
        <v>2.8974716981132072</v>
      </c>
      <c r="O65" s="14"/>
      <c r="P65" s="1">
        <f>SUM(OSRRefP22_9x_0)</f>
        <v>25262.97</v>
      </c>
      <c r="Q65" s="1"/>
      <c r="R65" s="5">
        <f t="shared" si="40"/>
        <v>6.4354570438973305E-3</v>
      </c>
      <c r="S65" s="1"/>
      <c r="T65" s="1">
        <f>SUM(OSRRefT22_9x_0)</f>
        <v>10305</v>
      </c>
      <c r="U65" s="1"/>
      <c r="V65" s="5">
        <f t="shared" si="41"/>
        <v>3.2675717993809212E-3</v>
      </c>
      <c r="W65" s="1"/>
      <c r="X65" s="1">
        <f t="shared" si="42"/>
        <v>14957.970000000001</v>
      </c>
      <c r="Y65" s="1"/>
      <c r="Z65" s="5">
        <f t="shared" si="43"/>
        <v>1.4515254730713247</v>
      </c>
    </row>
    <row r="66" spans="1:26" s="24" customFormat="1" hidden="1" outlineLevel="2" x14ac:dyDescent="0.25">
      <c r="A66" s="27"/>
      <c r="B66" s="11" t="str">
        <f>CONCATENATE("          ", "6279", " - ", "GENERAL EXPENSE")</f>
        <v xml:space="preserve">          6279 - GENERAL EXPENSE</v>
      </c>
      <c r="C66" s="11"/>
      <c r="D66" s="7">
        <v>2065.66</v>
      </c>
      <c r="E66" s="2"/>
      <c r="F66" s="6">
        <f t="shared" si="36"/>
        <v>1.1535884460437745E-3</v>
      </c>
      <c r="G66" s="2"/>
      <c r="H66" s="7">
        <v>530</v>
      </c>
      <c r="I66" s="2"/>
      <c r="J66" s="6">
        <f t="shared" si="37"/>
        <v>3.3774569406102873E-4</v>
      </c>
      <c r="K66" s="2"/>
      <c r="L66" s="7">
        <f t="shared" si="38"/>
        <v>1535.6599999999999</v>
      </c>
      <c r="M66" s="2"/>
      <c r="N66" s="6">
        <f t="shared" si="39"/>
        <v>2.8974716981132072</v>
      </c>
      <c r="O66" s="11"/>
      <c r="P66" s="7">
        <v>25262.97</v>
      </c>
      <c r="Q66" s="2"/>
      <c r="R66" s="6">
        <f t="shared" si="40"/>
        <v>6.4354570438973305E-3</v>
      </c>
      <c r="S66" s="2"/>
      <c r="T66" s="7">
        <v>10305</v>
      </c>
      <c r="U66" s="2"/>
      <c r="V66" s="6">
        <f t="shared" si="41"/>
        <v>3.2675717993809212E-3</v>
      </c>
      <c r="W66" s="2"/>
      <c r="X66" s="7">
        <f t="shared" si="42"/>
        <v>14957.970000000001</v>
      </c>
      <c r="Y66" s="2"/>
      <c r="Z66" s="6">
        <f t="shared" si="43"/>
        <v>1.4515254730713247</v>
      </c>
    </row>
    <row r="67" spans="1:26" s="28" customFormat="1" outlineLevel="1" collapsed="1" x14ac:dyDescent="0.25">
      <c r="A67" s="29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SUM(OSRRefD22_10x_0)</f>
        <v>12644.42</v>
      </c>
      <c r="E67" s="1"/>
      <c r="F67" s="5">
        <f t="shared" si="36"/>
        <v>7.0614025633089781E-3</v>
      </c>
      <c r="G67" s="1"/>
      <c r="H67" s="1">
        <f>SUM(OSRRefH22_10x_0)</f>
        <v>5680</v>
      </c>
      <c r="I67" s="1"/>
      <c r="J67" s="5">
        <f t="shared" si="37"/>
        <v>3.6196142306917796E-3</v>
      </c>
      <c r="K67" s="1"/>
      <c r="L67" s="1">
        <f t="shared" si="38"/>
        <v>6964.42</v>
      </c>
      <c r="M67" s="1"/>
      <c r="N67" s="5">
        <f t="shared" si="39"/>
        <v>1.2261302816901409</v>
      </c>
      <c r="O67" s="14"/>
      <c r="P67" s="1">
        <f>SUM(OSRRefP22_10x_0)</f>
        <v>29928.69</v>
      </c>
      <c r="Q67" s="1"/>
      <c r="R67" s="5">
        <f t="shared" si="40"/>
        <v>7.6239966589486344E-3</v>
      </c>
      <c r="S67" s="1"/>
      <c r="T67" s="1">
        <f>SUM(OSRRefT22_10x_0)</f>
        <v>22720</v>
      </c>
      <c r="U67" s="1"/>
      <c r="V67" s="5">
        <f t="shared" si="41"/>
        <v>7.2041951753454179E-3</v>
      </c>
      <c r="W67" s="1"/>
      <c r="X67" s="1">
        <f t="shared" si="42"/>
        <v>7208.6899999999987</v>
      </c>
      <c r="Y67" s="1"/>
      <c r="Z67" s="5">
        <f t="shared" si="43"/>
        <v>0.31728389084507036</v>
      </c>
    </row>
    <row r="68" spans="1:26" s="24" customFormat="1" hidden="1" outlineLevel="2" x14ac:dyDescent="0.25">
      <c r="A68" s="27"/>
      <c r="B68" s="11" t="str">
        <f>CONCATENATE("          ", "6314", " - ", "LIABILITY INSURANCE")</f>
        <v xml:space="preserve">          6314 - LIABILITY INSURANCE</v>
      </c>
      <c r="C68" s="11"/>
      <c r="D68" s="7">
        <v>12644.42</v>
      </c>
      <c r="E68" s="2"/>
      <c r="F68" s="6">
        <f t="shared" si="36"/>
        <v>7.0614025633089781E-3</v>
      </c>
      <c r="G68" s="2"/>
      <c r="H68" s="7">
        <v>5680</v>
      </c>
      <c r="I68" s="2"/>
      <c r="J68" s="6">
        <f t="shared" si="37"/>
        <v>3.6196142306917796E-3</v>
      </c>
      <c r="K68" s="2"/>
      <c r="L68" s="7">
        <f t="shared" si="38"/>
        <v>6964.42</v>
      </c>
      <c r="M68" s="2"/>
      <c r="N68" s="6">
        <f t="shared" si="39"/>
        <v>1.2261302816901409</v>
      </c>
      <c r="O68" s="11"/>
      <c r="P68" s="7">
        <v>29928.69</v>
      </c>
      <c r="Q68" s="2"/>
      <c r="R68" s="6">
        <f t="shared" si="40"/>
        <v>7.6239966589486344E-3</v>
      </c>
      <c r="S68" s="2"/>
      <c r="T68" s="7">
        <v>22720</v>
      </c>
      <c r="U68" s="2"/>
      <c r="V68" s="6">
        <f t="shared" si="41"/>
        <v>7.2041951753454179E-3</v>
      </c>
      <c r="W68" s="2"/>
      <c r="X68" s="7">
        <f t="shared" si="42"/>
        <v>7208.6899999999987</v>
      </c>
      <c r="Y68" s="2"/>
      <c r="Z68" s="6">
        <f t="shared" si="43"/>
        <v>0.31728389084507036</v>
      </c>
    </row>
    <row r="69" spans="1:26" s="28" customFormat="1" outlineLevel="1" collapsed="1" x14ac:dyDescent="0.25">
      <c r="A69" s="29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SUM(OSRRefD22_11x_0)</f>
        <v>6739</v>
      </c>
      <c r="E69" s="1"/>
      <c r="F69" s="5">
        <f t="shared" si="36"/>
        <v>3.763461817476737E-3</v>
      </c>
      <c r="G69" s="1"/>
      <c r="H69" s="1">
        <f>SUM(OSRRefH22_11x_0)</f>
        <v>7253</v>
      </c>
      <c r="I69" s="1"/>
      <c r="J69" s="5">
        <f t="shared" si="37"/>
        <v>4.6220179604238515E-3</v>
      </c>
      <c r="K69" s="1"/>
      <c r="L69" s="1">
        <f t="shared" si="38"/>
        <v>-514</v>
      </c>
      <c r="M69" s="1"/>
      <c r="N69" s="5">
        <f t="shared" si="39"/>
        <v>-7.0867227354198259E-2</v>
      </c>
      <c r="O69" s="14"/>
      <c r="P69" s="1">
        <f>SUM(OSRRefP22_11x_0)</f>
        <v>28498</v>
      </c>
      <c r="Q69" s="1"/>
      <c r="R69" s="5">
        <f t="shared" si="40"/>
        <v>7.2595444968262292E-3</v>
      </c>
      <c r="S69" s="1"/>
      <c r="T69" s="1">
        <f>SUM(OSRRefT22_11x_0)</f>
        <v>29012</v>
      </c>
      <c r="U69" s="1"/>
      <c r="V69" s="5">
        <f t="shared" si="41"/>
        <v>9.1993006349965351E-3</v>
      </c>
      <c r="W69" s="1"/>
      <c r="X69" s="1">
        <f t="shared" si="42"/>
        <v>-514</v>
      </c>
      <c r="Y69" s="1"/>
      <c r="Z69" s="5">
        <f t="shared" si="43"/>
        <v>-1.7716806838549565E-2</v>
      </c>
    </row>
    <row r="70" spans="1:26" s="24" customFormat="1" hidden="1" outlineLevel="2" x14ac:dyDescent="0.25">
      <c r="A70" s="27"/>
      <c r="B70" s="11" t="str">
        <f>CONCATENATE("          ", "6401", " - ", "INTEREST EXPENSE")</f>
        <v xml:space="preserve">          6401 - INTEREST EXPENSE</v>
      </c>
      <c r="C70" s="11"/>
      <c r="D70" s="7">
        <v>6739</v>
      </c>
      <c r="E70" s="2"/>
      <c r="F70" s="6">
        <f t="shared" si="36"/>
        <v>3.763461817476737E-3</v>
      </c>
      <c r="G70" s="2"/>
      <c r="H70" s="7">
        <v>7253</v>
      </c>
      <c r="I70" s="2"/>
      <c r="J70" s="6">
        <f t="shared" si="37"/>
        <v>4.6220179604238515E-3</v>
      </c>
      <c r="K70" s="2"/>
      <c r="L70" s="7">
        <f t="shared" si="38"/>
        <v>-514</v>
      </c>
      <c r="M70" s="2"/>
      <c r="N70" s="6">
        <f t="shared" si="39"/>
        <v>-7.0867227354198259E-2</v>
      </c>
      <c r="O70" s="11"/>
      <c r="P70" s="7">
        <v>28498</v>
      </c>
      <c r="Q70" s="2"/>
      <c r="R70" s="6">
        <f t="shared" si="40"/>
        <v>7.2595444968262292E-3</v>
      </c>
      <c r="S70" s="2"/>
      <c r="T70" s="7">
        <v>29012</v>
      </c>
      <c r="U70" s="2"/>
      <c r="V70" s="6">
        <f t="shared" si="41"/>
        <v>9.1993006349965351E-3</v>
      </c>
      <c r="W70" s="2"/>
      <c r="X70" s="7">
        <f t="shared" si="42"/>
        <v>-514</v>
      </c>
      <c r="Y70" s="2"/>
      <c r="Z70" s="6">
        <f t="shared" si="43"/>
        <v>-1.7716806838549565E-2</v>
      </c>
    </row>
    <row r="71" spans="1:26" s="28" customFormat="1" outlineLevel="1" collapsed="1" x14ac:dyDescent="0.25">
      <c r="A71" s="29"/>
      <c r="B71" s="14" t="str">
        <f>CONCATENATE("     ","R/H Commissions                                   ")</f>
        <v xml:space="preserve">     R/H Commissions                                   </v>
      </c>
      <c r="C71" s="14"/>
      <c r="D71" s="1">
        <f>SUM(OSRRefD22_12x_0)</f>
        <v>127967.99</v>
      </c>
      <c r="E71" s="1"/>
      <c r="F71" s="5">
        <f t="shared" si="36"/>
        <v>7.1465001368785419E-2</v>
      </c>
      <c r="G71" s="1"/>
      <c r="H71" s="1">
        <f>SUM(OSRRefH22_12x_0)</f>
        <v>112896</v>
      </c>
      <c r="I71" s="1"/>
      <c r="J71" s="5">
        <f t="shared" si="37"/>
        <v>7.1943656371158307E-2</v>
      </c>
      <c r="K71" s="1"/>
      <c r="L71" s="1">
        <f t="shared" si="38"/>
        <v>15071.990000000005</v>
      </c>
      <c r="M71" s="1"/>
      <c r="N71" s="5">
        <f t="shared" si="39"/>
        <v>0.13350331278344676</v>
      </c>
      <c r="O71" s="14"/>
      <c r="P71" s="1">
        <f>SUM(OSRRefP22_12x_0)</f>
        <v>270770.98</v>
      </c>
      <c r="Q71" s="1"/>
      <c r="R71" s="5">
        <f t="shared" si="40"/>
        <v>6.8975857174512073E-2</v>
      </c>
      <c r="S71" s="1"/>
      <c r="T71" s="1">
        <f>SUM(OSRRefT22_12x_0)</f>
        <v>225792</v>
      </c>
      <c r="U71" s="1"/>
      <c r="V71" s="5">
        <f t="shared" si="41"/>
        <v>7.1595494587658126E-2</v>
      </c>
      <c r="W71" s="1"/>
      <c r="X71" s="1">
        <f t="shared" si="42"/>
        <v>44978.979999999981</v>
      </c>
      <c r="Y71" s="1"/>
      <c r="Z71" s="5">
        <f t="shared" si="43"/>
        <v>0.19920537485827655</v>
      </c>
    </row>
    <row r="72" spans="1:26" s="24" customFormat="1" hidden="1" outlineLevel="2" x14ac:dyDescent="0.25">
      <c r="A72" s="27"/>
      <c r="B72" s="11" t="str">
        <f>CONCATENATE("          ", "6387", " - ", "COMMISSION DUE HOUSING")</f>
        <v xml:space="preserve">          6387 - COMMISSION DUE HOUSING</v>
      </c>
      <c r="C72" s="11"/>
      <c r="D72" s="7">
        <v>127967.99</v>
      </c>
      <c r="E72" s="2"/>
      <c r="F72" s="6">
        <f t="shared" si="36"/>
        <v>7.1465001368785419E-2</v>
      </c>
      <c r="G72" s="2"/>
      <c r="H72" s="7">
        <v>112896</v>
      </c>
      <c r="I72" s="2"/>
      <c r="J72" s="6">
        <f t="shared" si="37"/>
        <v>7.1943656371158307E-2</v>
      </c>
      <c r="K72" s="2"/>
      <c r="L72" s="7">
        <f t="shared" si="38"/>
        <v>15071.990000000005</v>
      </c>
      <c r="M72" s="2"/>
      <c r="N72" s="6">
        <f t="shared" si="39"/>
        <v>0.13350331278344676</v>
      </c>
      <c r="O72" s="11"/>
      <c r="P72" s="7">
        <v>270770.98</v>
      </c>
      <c r="Q72" s="2"/>
      <c r="R72" s="6">
        <f t="shared" si="40"/>
        <v>6.8975857174512073E-2</v>
      </c>
      <c r="S72" s="2"/>
      <c r="T72" s="7">
        <v>225792</v>
      </c>
      <c r="U72" s="2"/>
      <c r="V72" s="6">
        <f t="shared" si="41"/>
        <v>7.1595494587658126E-2</v>
      </c>
      <c r="W72" s="2"/>
      <c r="X72" s="7">
        <f t="shared" si="42"/>
        <v>44978.979999999981</v>
      </c>
      <c r="Y72" s="2"/>
      <c r="Z72" s="6">
        <f t="shared" si="43"/>
        <v>0.19920537485827655</v>
      </c>
    </row>
    <row r="73" spans="1:26" s="28" customFormat="1" outlineLevel="1" collapsed="1" x14ac:dyDescent="0.25">
      <c r="A73" s="29"/>
      <c r="B73" s="14" t="str">
        <f>CONCATENATE("     ","Rent                                              ")</f>
        <v xml:space="preserve">     Rent                                              </v>
      </c>
      <c r="C73" s="14"/>
      <c r="D73" s="1">
        <f>SUM(OSRRefD22_13x_0)</f>
        <v>1850</v>
      </c>
      <c r="E73" s="1"/>
      <c r="F73" s="5">
        <f t="shared" si="36"/>
        <v>1.0331509663647372E-3</v>
      </c>
      <c r="G73" s="1"/>
      <c r="H73" s="1">
        <f>SUM(OSRRefH22_13x_0)</f>
        <v>1850</v>
      </c>
      <c r="I73" s="1"/>
      <c r="J73" s="5">
        <f t="shared" si="37"/>
        <v>1.1789236490809493E-3</v>
      </c>
      <c r="K73" s="1"/>
      <c r="L73" s="1">
        <f t="shared" si="38"/>
        <v>0</v>
      </c>
      <c r="M73" s="1"/>
      <c r="N73" s="5">
        <f t="shared" si="39"/>
        <v>0</v>
      </c>
      <c r="O73" s="14"/>
      <c r="P73" s="1">
        <f>SUM(OSRRefP22_13x_0)</f>
        <v>7400</v>
      </c>
      <c r="Q73" s="1"/>
      <c r="R73" s="5">
        <f t="shared" si="40"/>
        <v>1.8850666459581057E-3</v>
      </c>
      <c r="S73" s="1"/>
      <c r="T73" s="1">
        <f>SUM(OSRRefT22_13x_0)</f>
        <v>7400</v>
      </c>
      <c r="U73" s="1"/>
      <c r="V73" s="5">
        <f t="shared" si="41"/>
        <v>2.3464368088713067E-3</v>
      </c>
      <c r="W73" s="1"/>
      <c r="X73" s="1">
        <f t="shared" si="42"/>
        <v>0</v>
      </c>
      <c r="Y73" s="1"/>
      <c r="Z73" s="5">
        <f t="shared" si="43"/>
        <v>0</v>
      </c>
    </row>
    <row r="74" spans="1:26" s="24" customFormat="1" hidden="1" outlineLevel="2" x14ac:dyDescent="0.25">
      <c r="A74" s="27"/>
      <c r="B74" s="11" t="str">
        <f>CONCATENATE("          ", "6273", " - ", "RENT")</f>
        <v xml:space="preserve">          6273 - RENT</v>
      </c>
      <c r="C74" s="11"/>
      <c r="D74" s="7">
        <v>1850</v>
      </c>
      <c r="E74" s="2"/>
      <c r="F74" s="6">
        <f t="shared" si="36"/>
        <v>1.0331509663647372E-3</v>
      </c>
      <c r="G74" s="2"/>
      <c r="H74" s="7">
        <v>1850</v>
      </c>
      <c r="I74" s="2"/>
      <c r="J74" s="6">
        <f t="shared" si="37"/>
        <v>1.1789236490809493E-3</v>
      </c>
      <c r="K74" s="2"/>
      <c r="L74" s="7">
        <f t="shared" si="38"/>
        <v>0</v>
      </c>
      <c r="M74" s="2"/>
      <c r="N74" s="6">
        <f t="shared" si="39"/>
        <v>0</v>
      </c>
      <c r="O74" s="11"/>
      <c r="P74" s="7">
        <v>7400</v>
      </c>
      <c r="Q74" s="2"/>
      <c r="R74" s="6">
        <f t="shared" si="40"/>
        <v>1.8850666459581057E-3</v>
      </c>
      <c r="S74" s="2"/>
      <c r="T74" s="7">
        <v>7400</v>
      </c>
      <c r="U74" s="2"/>
      <c r="V74" s="6">
        <f t="shared" si="41"/>
        <v>2.3464368088713067E-3</v>
      </c>
      <c r="W74" s="2"/>
      <c r="X74" s="7">
        <f t="shared" si="42"/>
        <v>0</v>
      </c>
      <c r="Y74" s="2"/>
      <c r="Z74" s="6">
        <f t="shared" si="43"/>
        <v>0</v>
      </c>
    </row>
    <row r="75" spans="1:26" s="28" customFormat="1" outlineLevel="1" collapsed="1" x14ac:dyDescent="0.25">
      <c r="A75" s="29"/>
      <c r="B75" s="14" t="str">
        <f>CONCATENATE("     ","Repair and Maintenance                            ")</f>
        <v xml:space="preserve">     Repair and Maintenance                            </v>
      </c>
      <c r="C75" s="14"/>
      <c r="D75" s="1">
        <f>SUM(OSRRefD22_14x_0)</f>
        <v>14678.15</v>
      </c>
      <c r="E75" s="1"/>
      <c r="F75" s="5">
        <f t="shared" si="36"/>
        <v>8.1971593821332789E-3</v>
      </c>
      <c r="G75" s="1"/>
      <c r="H75" s="1">
        <f>SUM(OSRRefH22_14x_0)</f>
        <v>7465</v>
      </c>
      <c r="I75" s="1"/>
      <c r="J75" s="5">
        <f t="shared" si="37"/>
        <v>4.757116238048263E-3</v>
      </c>
      <c r="K75" s="1"/>
      <c r="L75" s="1">
        <f t="shared" si="38"/>
        <v>7213.15</v>
      </c>
      <c r="M75" s="1"/>
      <c r="N75" s="5">
        <f t="shared" si="39"/>
        <v>0.96626255860683186</v>
      </c>
      <c r="O75" s="14"/>
      <c r="P75" s="1">
        <f>SUM(OSRRefP22_14x_0)</f>
        <v>54948.59</v>
      </c>
      <c r="Q75" s="1"/>
      <c r="R75" s="5">
        <f t="shared" si="40"/>
        <v>1.3997534358300959E-2</v>
      </c>
      <c r="S75" s="1"/>
      <c r="T75" s="1">
        <f>SUM(OSRRefT22_14x_0)</f>
        <v>41290</v>
      </c>
      <c r="U75" s="1"/>
      <c r="V75" s="5">
        <f t="shared" si="41"/>
        <v>1.3092483221391386E-2</v>
      </c>
      <c r="W75" s="1"/>
      <c r="X75" s="1">
        <f t="shared" si="42"/>
        <v>13658.589999999997</v>
      </c>
      <c r="Y75" s="1"/>
      <c r="Z75" s="5">
        <f t="shared" si="43"/>
        <v>0.33079656091063203</v>
      </c>
    </row>
    <row r="76" spans="1:26" s="24" customFormat="1" hidden="1" outlineLevel="2" x14ac:dyDescent="0.25">
      <c r="A76" s="27"/>
      <c r="B76" s="11" t="str">
        <f>CONCATENATE("          ", "6371", " - ", "COMPUTER SOFTWARE MAINTENANCE")</f>
        <v xml:space="preserve">          6371 - COMPUTER SOFTWARE MAINTENANCE</v>
      </c>
      <c r="C76" s="11"/>
      <c r="D76" s="7">
        <v>3659.68</v>
      </c>
      <c r="E76" s="2"/>
      <c r="F76" s="6">
        <f t="shared" si="36"/>
        <v>2.0437848262625409E-3</v>
      </c>
      <c r="G76" s="2"/>
      <c r="H76" s="7">
        <v>3500</v>
      </c>
      <c r="I76" s="2"/>
      <c r="J76" s="6">
        <f t="shared" si="37"/>
        <v>2.2303960928558501E-3</v>
      </c>
      <c r="K76" s="2"/>
      <c r="L76" s="7">
        <f t="shared" si="38"/>
        <v>159.67999999999984</v>
      </c>
      <c r="M76" s="2"/>
      <c r="N76" s="6">
        <f t="shared" si="39"/>
        <v>4.5622857142857097E-2</v>
      </c>
      <c r="O76" s="11"/>
      <c r="P76" s="7">
        <v>19337.400000000001</v>
      </c>
      <c r="Q76" s="2"/>
      <c r="R76" s="6">
        <f t="shared" si="40"/>
        <v>4.925984832371659E-3</v>
      </c>
      <c r="S76" s="2"/>
      <c r="T76" s="7">
        <v>14000</v>
      </c>
      <c r="U76" s="2"/>
      <c r="V76" s="6">
        <f t="shared" si="41"/>
        <v>4.4392047735403103E-3</v>
      </c>
      <c r="W76" s="2"/>
      <c r="X76" s="7">
        <f t="shared" si="42"/>
        <v>5337.4000000000015</v>
      </c>
      <c r="Y76" s="2"/>
      <c r="Z76" s="6">
        <f t="shared" si="43"/>
        <v>0.38124285714285727</v>
      </c>
    </row>
    <row r="77" spans="1:26" s="24" customFormat="1" hidden="1" outlineLevel="2" x14ac:dyDescent="0.25">
      <c r="A77" s="27"/>
      <c r="B77" s="11" t="str">
        <f>CONCATENATE("          ", "6373", " - ", "MAINTENANCE CONTRACTS")</f>
        <v xml:space="preserve">          6373 - MAINTENANCE CONTRACTS</v>
      </c>
      <c r="C77" s="11"/>
      <c r="D77" s="7">
        <v>2983.57</v>
      </c>
      <c r="E77" s="2"/>
      <c r="F77" s="6">
        <f t="shared" si="36"/>
        <v>1.666204447955048E-3</v>
      </c>
      <c r="G77" s="2"/>
      <c r="H77" s="7">
        <v>1030</v>
      </c>
      <c r="I77" s="2"/>
      <c r="J77" s="6">
        <f t="shared" si="37"/>
        <v>6.5637370732615015E-4</v>
      </c>
      <c r="K77" s="2"/>
      <c r="L77" s="7">
        <f t="shared" si="38"/>
        <v>1953.5700000000002</v>
      </c>
      <c r="M77" s="2"/>
      <c r="N77" s="6">
        <f t="shared" si="39"/>
        <v>1.8966699029126215</v>
      </c>
      <c r="O77" s="11"/>
      <c r="P77" s="7">
        <v>4123.87</v>
      </c>
      <c r="Q77" s="2"/>
      <c r="R77" s="6">
        <f t="shared" si="40"/>
        <v>1.0505094309820613E-3</v>
      </c>
      <c r="S77" s="2"/>
      <c r="T77" s="7">
        <v>7360</v>
      </c>
      <c r="U77" s="2"/>
      <c r="V77" s="6">
        <f t="shared" si="41"/>
        <v>2.3337533666611915E-3</v>
      </c>
      <c r="W77" s="2"/>
      <c r="X77" s="7">
        <f t="shared" si="42"/>
        <v>-3236.13</v>
      </c>
      <c r="Y77" s="2"/>
      <c r="Z77" s="6">
        <f t="shared" si="43"/>
        <v>-0.43969157608695653</v>
      </c>
    </row>
    <row r="78" spans="1:26" s="24" customFormat="1" hidden="1" outlineLevel="2" x14ac:dyDescent="0.25">
      <c r="A78" s="27"/>
      <c r="B78" s="11" t="str">
        <f>CONCATENATE("          ", "6375", " - ", "OUTSIDE REPAIRS &amp; MAINTENANCE")</f>
        <v xml:space="preserve">          6375 - OUTSIDE REPAIRS &amp; MAINTENANCE</v>
      </c>
      <c r="C78" s="11"/>
      <c r="D78" s="7">
        <v>8034.9</v>
      </c>
      <c r="E78" s="2"/>
      <c r="F78" s="6">
        <f t="shared" si="36"/>
        <v>4.4871701079156898E-3</v>
      </c>
      <c r="G78" s="2"/>
      <c r="H78" s="7">
        <v>2935</v>
      </c>
      <c r="I78" s="2"/>
      <c r="J78" s="6">
        <f t="shared" si="37"/>
        <v>1.8703464378662629E-3</v>
      </c>
      <c r="K78" s="2"/>
      <c r="L78" s="7">
        <f t="shared" si="38"/>
        <v>5099.8999999999996</v>
      </c>
      <c r="M78" s="2"/>
      <c r="N78" s="6">
        <f t="shared" si="39"/>
        <v>1.7376149914821124</v>
      </c>
      <c r="O78" s="11"/>
      <c r="P78" s="7">
        <v>31487.32</v>
      </c>
      <c r="Q78" s="2"/>
      <c r="R78" s="6">
        <f t="shared" si="40"/>
        <v>8.0210400949472412E-3</v>
      </c>
      <c r="S78" s="2"/>
      <c r="T78" s="7">
        <v>19930</v>
      </c>
      <c r="U78" s="2"/>
      <c r="V78" s="6">
        <f t="shared" si="41"/>
        <v>6.3195250811898841E-3</v>
      </c>
      <c r="W78" s="2"/>
      <c r="X78" s="7">
        <f t="shared" si="42"/>
        <v>11557.32</v>
      </c>
      <c r="Y78" s="2"/>
      <c r="Z78" s="6">
        <f t="shared" si="43"/>
        <v>0.57989563472152528</v>
      </c>
    </row>
    <row r="79" spans="1:26" s="28" customFormat="1" outlineLevel="1" collapsed="1" x14ac:dyDescent="0.25">
      <c r="A79" s="29"/>
      <c r="B79" s="14" t="str">
        <f>CONCATENATE("     ","Royalty &amp; Commissions                             ")</f>
        <v xml:space="preserve">     Royalty &amp; Commissions                             </v>
      </c>
      <c r="C79" s="14"/>
      <c r="D79" s="1">
        <f>SUM(OSRRefD22_15x_0)</f>
        <v>1066.22</v>
      </c>
      <c r="E79" s="1"/>
      <c r="F79" s="5">
        <f t="shared" ref="F79:F86" si="44">IF(D$12=0,0,D79/D$12)</f>
        <v>5.9544120181481621E-4</v>
      </c>
      <c r="G79" s="1"/>
      <c r="H79" s="1">
        <f>SUM(OSRRefH22_15x_0)</f>
        <v>0</v>
      </c>
      <c r="I79" s="1"/>
      <c r="J79" s="5">
        <f t="shared" ref="J79:J86" si="45">IF(H$12=0,0,H79/H$12)</f>
        <v>0</v>
      </c>
      <c r="K79" s="1"/>
      <c r="L79" s="1">
        <f t="shared" ref="L79:L86" si="46">+D79-H79</f>
        <v>1066.22</v>
      </c>
      <c r="M79" s="1"/>
      <c r="N79" s="5">
        <f t="shared" ref="N79:N86" si="47">IF(H79=0,0,L79/H79)</f>
        <v>0</v>
      </c>
      <c r="O79" s="14"/>
      <c r="P79" s="1">
        <f>SUM(OSRRefP22_15x_0)</f>
        <v>1066.22</v>
      </c>
      <c r="Q79" s="1"/>
      <c r="R79" s="5">
        <f t="shared" ref="R79:R86" si="48">IF(P$12=0,0,P79/P$12)</f>
        <v>2.7160753503425018E-4</v>
      </c>
      <c r="S79" s="1"/>
      <c r="T79" s="1">
        <f>SUM(OSRRefT22_15x_0)</f>
        <v>0</v>
      </c>
      <c r="U79" s="1"/>
      <c r="V79" s="5">
        <f t="shared" ref="V79:V86" si="49">IF(T$12=0,0,T79/T$12)</f>
        <v>0</v>
      </c>
      <c r="W79" s="1"/>
      <c r="X79" s="1">
        <f t="shared" ref="X79:X86" si="50">+P79-T79</f>
        <v>1066.22</v>
      </c>
      <c r="Y79" s="1"/>
      <c r="Z79" s="5">
        <f t="shared" ref="Z79:Z86" si="51">IF(T79=0,0,X79/T79)</f>
        <v>0</v>
      </c>
    </row>
    <row r="80" spans="1:26" s="24" customFormat="1" hidden="1" outlineLevel="2" x14ac:dyDescent="0.25">
      <c r="A80" s="27"/>
      <c r="B80" s="11" t="str">
        <f>CONCATENATE("          ", "6254", " - ", "ROYALTY &amp; COMMISSIONS")</f>
        <v xml:space="preserve">          6254 - ROYALTY &amp; COMMISSIONS</v>
      </c>
      <c r="C80" s="11"/>
      <c r="D80" s="7">
        <v>1066.22</v>
      </c>
      <c r="E80" s="2"/>
      <c r="F80" s="6">
        <f t="shared" si="44"/>
        <v>5.9544120181481621E-4</v>
      </c>
      <c r="G80" s="2"/>
      <c r="H80" s="7"/>
      <c r="I80" s="2"/>
      <c r="J80" s="6">
        <f t="shared" si="45"/>
        <v>0</v>
      </c>
      <c r="K80" s="2"/>
      <c r="L80" s="7">
        <f t="shared" si="46"/>
        <v>1066.22</v>
      </c>
      <c r="M80" s="2"/>
      <c r="N80" s="6">
        <f t="shared" si="47"/>
        <v>0</v>
      </c>
      <c r="O80" s="11"/>
      <c r="P80" s="7">
        <v>1066.22</v>
      </c>
      <c r="Q80" s="2"/>
      <c r="R80" s="6">
        <f t="shared" si="48"/>
        <v>2.7160753503425018E-4</v>
      </c>
      <c r="S80" s="2"/>
      <c r="T80" s="7"/>
      <c r="U80" s="2"/>
      <c r="V80" s="6">
        <f t="shared" si="49"/>
        <v>0</v>
      </c>
      <c r="W80" s="2"/>
      <c r="X80" s="7">
        <f t="shared" si="50"/>
        <v>1066.22</v>
      </c>
      <c r="Y80" s="2"/>
      <c r="Z80" s="6">
        <f t="shared" si="51"/>
        <v>0</v>
      </c>
    </row>
    <row r="81" spans="1:26" s="28" customFormat="1" outlineLevel="1" collapsed="1" x14ac:dyDescent="0.25">
      <c r="A81" s="29"/>
      <c r="B81" s="14" t="str">
        <f>CONCATENATE("     ","Services                                          ")</f>
        <v xml:space="preserve">     Services                                          </v>
      </c>
      <c r="C81" s="14"/>
      <c r="D81" s="1">
        <f>SUM(OSRRefD22_16x_0)</f>
        <v>29062.21</v>
      </c>
      <c r="E81" s="1"/>
      <c r="F81" s="5">
        <f t="shared" si="44"/>
        <v>1.6230081268213473E-2</v>
      </c>
      <c r="G81" s="1"/>
      <c r="H81" s="1">
        <f>SUM(OSRRefH22_16x_0)</f>
        <v>33284</v>
      </c>
      <c r="I81" s="1"/>
      <c r="J81" s="5">
        <f t="shared" si="45"/>
        <v>2.1210429587032606E-2</v>
      </c>
      <c r="K81" s="1"/>
      <c r="L81" s="1">
        <f t="shared" si="46"/>
        <v>-4221.7900000000009</v>
      </c>
      <c r="M81" s="1"/>
      <c r="N81" s="5">
        <f t="shared" si="47"/>
        <v>-0.12684142530945802</v>
      </c>
      <c r="O81" s="14"/>
      <c r="P81" s="1">
        <f>SUM(OSRRefP22_16x_0)</f>
        <v>98039.32</v>
      </c>
      <c r="Q81" s="1"/>
      <c r="R81" s="5">
        <f t="shared" si="48"/>
        <v>2.4974412449245059E-2</v>
      </c>
      <c r="S81" s="1"/>
      <c r="T81" s="1">
        <f>SUM(OSRRefT22_16x_0)</f>
        <v>123499</v>
      </c>
      <c r="U81" s="1"/>
      <c r="V81" s="5">
        <f t="shared" si="49"/>
        <v>3.9159810737675341E-2</v>
      </c>
      <c r="W81" s="1"/>
      <c r="X81" s="1">
        <f t="shared" si="50"/>
        <v>-25459.679999999993</v>
      </c>
      <c r="Y81" s="1"/>
      <c r="Z81" s="5">
        <f t="shared" si="51"/>
        <v>-0.20615292431517659</v>
      </c>
    </row>
    <row r="82" spans="1:26" s="24" customFormat="1" hidden="1" outlineLevel="2" x14ac:dyDescent="0.25">
      <c r="A82" s="27"/>
      <c r="B82" s="11" t="str">
        <f>CONCATENATE("          ", "6282", " - ", "JANITORIAL/EXTERMINATOR EXPENS")</f>
        <v xml:space="preserve">          6282 - JANITORIAL/EXTERMINATOR EXPENS</v>
      </c>
      <c r="C82" s="11"/>
      <c r="D82" s="7">
        <v>4857.59</v>
      </c>
      <c r="E82" s="2"/>
      <c r="F82" s="6">
        <f t="shared" si="44"/>
        <v>2.712769623083072E-3</v>
      </c>
      <c r="G82" s="2"/>
      <c r="H82" s="7">
        <v>2698</v>
      </c>
      <c r="I82" s="2"/>
      <c r="J82" s="6">
        <f t="shared" si="45"/>
        <v>1.7193167595785954E-3</v>
      </c>
      <c r="K82" s="2"/>
      <c r="L82" s="7">
        <f t="shared" si="46"/>
        <v>2159.59</v>
      </c>
      <c r="M82" s="2"/>
      <c r="N82" s="6">
        <f t="shared" si="47"/>
        <v>0.80044106745737587</v>
      </c>
      <c r="O82" s="11"/>
      <c r="P82" s="7">
        <v>11837.3</v>
      </c>
      <c r="Q82" s="2"/>
      <c r="R82" s="6">
        <f t="shared" si="48"/>
        <v>3.0154188389459303E-3</v>
      </c>
      <c r="S82" s="2"/>
      <c r="T82" s="7">
        <v>10692</v>
      </c>
      <c r="U82" s="2"/>
      <c r="V82" s="6">
        <f t="shared" si="49"/>
        <v>3.3902841027637857E-3</v>
      </c>
      <c r="W82" s="2"/>
      <c r="X82" s="7">
        <f t="shared" si="50"/>
        <v>1145.2999999999993</v>
      </c>
      <c r="Y82" s="2"/>
      <c r="Z82" s="6">
        <f t="shared" si="51"/>
        <v>0.10711747100635982</v>
      </c>
    </row>
    <row r="83" spans="1:26" s="24" customFormat="1" hidden="1" outlineLevel="2" x14ac:dyDescent="0.25">
      <c r="A83" s="27"/>
      <c r="B83" s="11" t="str">
        <f>CONCATENATE("          ", "6283", " - ", "PLANT SERVICE")</f>
        <v xml:space="preserve">          6283 - PLANT SERVICE</v>
      </c>
      <c r="C83" s="11"/>
      <c r="D83" s="7"/>
      <c r="E83" s="2"/>
      <c r="F83" s="6">
        <f t="shared" si="44"/>
        <v>0</v>
      </c>
      <c r="G83" s="2"/>
      <c r="H83" s="7">
        <v>100</v>
      </c>
      <c r="I83" s="2"/>
      <c r="J83" s="6">
        <f t="shared" si="45"/>
        <v>6.372560265302429E-5</v>
      </c>
      <c r="K83" s="2"/>
      <c r="L83" s="7">
        <f t="shared" si="46"/>
        <v>-100</v>
      </c>
      <c r="M83" s="2"/>
      <c r="N83" s="6">
        <f t="shared" si="47"/>
        <v>-1</v>
      </c>
      <c r="O83" s="11"/>
      <c r="P83" s="7"/>
      <c r="Q83" s="2"/>
      <c r="R83" s="6">
        <f t="shared" si="48"/>
        <v>0</v>
      </c>
      <c r="S83" s="2"/>
      <c r="T83" s="7">
        <v>400</v>
      </c>
      <c r="U83" s="2"/>
      <c r="V83" s="6">
        <f t="shared" si="49"/>
        <v>1.2683442210115173E-4</v>
      </c>
      <c r="W83" s="2"/>
      <c r="X83" s="7">
        <f t="shared" si="50"/>
        <v>-400</v>
      </c>
      <c r="Y83" s="2"/>
      <c r="Z83" s="6">
        <f t="shared" si="51"/>
        <v>-1</v>
      </c>
    </row>
    <row r="84" spans="1:26" s="24" customFormat="1" hidden="1" outlineLevel="2" x14ac:dyDescent="0.25">
      <c r="A84" s="27"/>
      <c r="B84" s="11" t="str">
        <f>CONCATENATE("          ", "6284", " - ", "TRASH REMOVAL EXPENSE")</f>
        <v xml:space="preserve">          6284 - TRASH REMOVAL EXPENSE</v>
      </c>
      <c r="C84" s="11"/>
      <c r="D84" s="7"/>
      <c r="E84" s="2"/>
      <c r="F84" s="6">
        <f t="shared" si="44"/>
        <v>0</v>
      </c>
      <c r="G84" s="2"/>
      <c r="H84" s="7">
        <v>1600</v>
      </c>
      <c r="I84" s="2"/>
      <c r="J84" s="6">
        <f t="shared" si="45"/>
        <v>1.0196096424483886E-3</v>
      </c>
      <c r="K84" s="2"/>
      <c r="L84" s="7">
        <f t="shared" si="46"/>
        <v>-1600</v>
      </c>
      <c r="M84" s="2"/>
      <c r="N84" s="6">
        <f t="shared" si="47"/>
        <v>-1</v>
      </c>
      <c r="O84" s="11"/>
      <c r="P84" s="7"/>
      <c r="Q84" s="2"/>
      <c r="R84" s="6">
        <f t="shared" si="48"/>
        <v>0</v>
      </c>
      <c r="S84" s="2"/>
      <c r="T84" s="7">
        <v>6400</v>
      </c>
      <c r="U84" s="2"/>
      <c r="V84" s="6">
        <f t="shared" si="49"/>
        <v>2.0293507536184277E-3</v>
      </c>
      <c r="W84" s="2"/>
      <c r="X84" s="7">
        <f t="shared" si="50"/>
        <v>-6400</v>
      </c>
      <c r="Y84" s="2"/>
      <c r="Z84" s="6">
        <f t="shared" si="51"/>
        <v>-1</v>
      </c>
    </row>
    <row r="85" spans="1:26" s="24" customFormat="1" hidden="1" outlineLevel="2" x14ac:dyDescent="0.25">
      <c r="A85" s="27"/>
      <c r="B85" s="11" t="str">
        <f>CONCATENATE("          ", "6285", " - ", "JANITORIAL SERVICES")</f>
        <v xml:space="preserve">          6285 - JANITORIAL SERVICES</v>
      </c>
      <c r="C85" s="11"/>
      <c r="D85" s="7">
        <v>16872.43</v>
      </c>
      <c r="E85" s="2"/>
      <c r="F85" s="6">
        <f t="shared" si="44"/>
        <v>9.4225769510385849E-3</v>
      </c>
      <c r="G85" s="2"/>
      <c r="H85" s="7">
        <v>23434</v>
      </c>
      <c r="I85" s="2"/>
      <c r="J85" s="6">
        <f t="shared" si="45"/>
        <v>1.4933457725709712E-2</v>
      </c>
      <c r="K85" s="2"/>
      <c r="L85" s="7">
        <f t="shared" si="46"/>
        <v>-6561.57</v>
      </c>
      <c r="M85" s="2"/>
      <c r="N85" s="6">
        <f t="shared" si="47"/>
        <v>-0.2800021336519587</v>
      </c>
      <c r="O85" s="11"/>
      <c r="P85" s="7">
        <v>73906.66</v>
      </c>
      <c r="Q85" s="2"/>
      <c r="R85" s="6">
        <f t="shared" si="48"/>
        <v>1.8826889145968393E-2</v>
      </c>
      <c r="S85" s="2"/>
      <c r="T85" s="7">
        <v>85928</v>
      </c>
      <c r="U85" s="2"/>
      <c r="V85" s="6">
        <f t="shared" si="49"/>
        <v>2.7246570555769411E-2</v>
      </c>
      <c r="W85" s="2"/>
      <c r="X85" s="7">
        <f t="shared" si="50"/>
        <v>-12021.339999999997</v>
      </c>
      <c r="Y85" s="2"/>
      <c r="Z85" s="6">
        <f t="shared" si="51"/>
        <v>-0.13990014896192157</v>
      </c>
    </row>
    <row r="86" spans="1:26" s="24" customFormat="1" hidden="1" outlineLevel="2" x14ac:dyDescent="0.25">
      <c r="A86" s="27"/>
      <c r="B86" s="11" t="str">
        <f>CONCATENATE("          ", "6286", " - ", "LAUNDRY EXPENSE")</f>
        <v xml:space="preserve">          6286 - LAUNDRY EXPENSE</v>
      </c>
      <c r="C86" s="11"/>
      <c r="D86" s="7">
        <v>7332.19</v>
      </c>
      <c r="E86" s="2"/>
      <c r="F86" s="6">
        <f t="shared" si="44"/>
        <v>4.0947346940918171E-3</v>
      </c>
      <c r="G86" s="2"/>
      <c r="H86" s="7">
        <v>5452</v>
      </c>
      <c r="I86" s="2"/>
      <c r="J86" s="6">
        <f t="shared" si="45"/>
        <v>3.4743198566428843E-3</v>
      </c>
      <c r="K86" s="2"/>
      <c r="L86" s="7">
        <f t="shared" si="46"/>
        <v>1880.1899999999996</v>
      </c>
      <c r="M86" s="2"/>
      <c r="N86" s="6">
        <f t="shared" si="47"/>
        <v>0.34486243580337483</v>
      </c>
      <c r="O86" s="11"/>
      <c r="P86" s="7">
        <v>12295.36</v>
      </c>
      <c r="Q86" s="2"/>
      <c r="R86" s="6">
        <f t="shared" si="48"/>
        <v>3.1321044643307372E-3</v>
      </c>
      <c r="S86" s="2"/>
      <c r="T86" s="7">
        <v>20079</v>
      </c>
      <c r="U86" s="2"/>
      <c r="V86" s="6">
        <f t="shared" si="49"/>
        <v>6.3667709034225632E-3</v>
      </c>
      <c r="W86" s="2"/>
      <c r="X86" s="7">
        <f t="shared" si="50"/>
        <v>-7783.6399999999994</v>
      </c>
      <c r="Y86" s="2"/>
      <c r="Z86" s="6">
        <f t="shared" si="51"/>
        <v>-0.3876507794212859</v>
      </c>
    </row>
    <row r="87" spans="1:26" s="28" customFormat="1" outlineLevel="1" collapsed="1" x14ac:dyDescent="0.25">
      <c r="A87" s="29"/>
      <c r="B87" s="14" t="str">
        <f>CONCATENATE("     ","Subscriptions &amp; Dues                              ")</f>
        <v xml:space="preserve">     Subscriptions &amp; Dues                              </v>
      </c>
      <c r="C87" s="14"/>
      <c r="D87" s="1">
        <f>SUM(OSRRefD22_17x_0)</f>
        <v>813.81</v>
      </c>
      <c r="E87" s="1"/>
      <c r="F87" s="5">
        <f t="shared" ref="F87:F99" si="52">IF(D$12=0,0,D87/D$12)</f>
        <v>4.5448031780393871E-4</v>
      </c>
      <c r="G87" s="1"/>
      <c r="H87" s="1">
        <f>SUM(OSRRefH22_17x_0)</f>
        <v>610</v>
      </c>
      <c r="I87" s="1"/>
      <c r="J87" s="5">
        <f t="shared" ref="J87:J99" si="53">IF(H$12=0,0,H87/H$12)</f>
        <v>3.8872617618344819E-4</v>
      </c>
      <c r="K87" s="1"/>
      <c r="L87" s="1">
        <f t="shared" ref="L87:L99" si="54">+D87-H87</f>
        <v>203.80999999999995</v>
      </c>
      <c r="M87" s="1"/>
      <c r="N87" s="5">
        <f t="shared" ref="N87:N99" si="55">IF(H87=0,0,L87/H87)</f>
        <v>0.33411475409836056</v>
      </c>
      <c r="O87" s="14"/>
      <c r="P87" s="1">
        <f>SUM(OSRRefP22_17x_0)</f>
        <v>1947</v>
      </c>
      <c r="Q87" s="1"/>
      <c r="R87" s="5">
        <f t="shared" ref="R87:R99" si="56">IF(P$12=0,0,P87/P$12)</f>
        <v>4.9597631887573405E-4</v>
      </c>
      <c r="S87" s="1"/>
      <c r="T87" s="1">
        <f>SUM(OSRRefT22_17x_0)</f>
        <v>2210</v>
      </c>
      <c r="U87" s="1"/>
      <c r="V87" s="5">
        <f t="shared" ref="V87:V99" si="57">IF(T$12=0,0,T87/T$12)</f>
        <v>7.0076018210886329E-4</v>
      </c>
      <c r="W87" s="1"/>
      <c r="X87" s="1">
        <f t="shared" ref="X87:X99" si="58">+P87-T87</f>
        <v>-263</v>
      </c>
      <c r="Y87" s="1"/>
      <c r="Z87" s="5">
        <f t="shared" ref="Z87:Z99" si="59">IF(T87=0,0,X87/T87)</f>
        <v>-0.11900452488687782</v>
      </c>
    </row>
    <row r="88" spans="1:26" s="24" customFormat="1" hidden="1" outlineLevel="2" x14ac:dyDescent="0.25">
      <c r="A88" s="27"/>
      <c r="B88" s="11" t="str">
        <f>CONCATENATE("          ", "6275", " - ", "SUBSCRIPTIONS")</f>
        <v xml:space="preserve">          6275 - SUBSCRIPTIONS</v>
      </c>
      <c r="C88" s="11"/>
      <c r="D88" s="7">
        <v>813.81</v>
      </c>
      <c r="E88" s="2"/>
      <c r="F88" s="6">
        <f t="shared" si="52"/>
        <v>4.5448031780393871E-4</v>
      </c>
      <c r="G88" s="2"/>
      <c r="H88" s="7">
        <v>610</v>
      </c>
      <c r="I88" s="2"/>
      <c r="J88" s="6">
        <f t="shared" si="53"/>
        <v>3.8872617618344819E-4</v>
      </c>
      <c r="K88" s="2"/>
      <c r="L88" s="7">
        <f t="shared" si="54"/>
        <v>203.80999999999995</v>
      </c>
      <c r="M88" s="2"/>
      <c r="N88" s="6">
        <f t="shared" si="55"/>
        <v>0.33411475409836056</v>
      </c>
      <c r="O88" s="11"/>
      <c r="P88" s="7">
        <v>1947</v>
      </c>
      <c r="Q88" s="2"/>
      <c r="R88" s="6">
        <f t="shared" si="56"/>
        <v>4.9597631887573405E-4</v>
      </c>
      <c r="S88" s="2"/>
      <c r="T88" s="7">
        <v>2210</v>
      </c>
      <c r="U88" s="2"/>
      <c r="V88" s="6">
        <f t="shared" si="57"/>
        <v>7.0076018210886329E-4</v>
      </c>
      <c r="W88" s="2"/>
      <c r="X88" s="7">
        <f t="shared" si="58"/>
        <v>-263</v>
      </c>
      <c r="Y88" s="2"/>
      <c r="Z88" s="6">
        <f t="shared" si="59"/>
        <v>-0.11900452488687782</v>
      </c>
    </row>
    <row r="89" spans="1:26" s="28" customFormat="1" outlineLevel="1" collapsed="1" x14ac:dyDescent="0.25">
      <c r="A89" s="29"/>
      <c r="B89" s="14" t="str">
        <f>CONCATENATE("     ","Supplies                                          ")</f>
        <v xml:space="preserve">     Supplies                                          </v>
      </c>
      <c r="C89" s="14"/>
      <c r="D89" s="1">
        <f>SUM(OSRRefD22_18x_0)</f>
        <v>90468.74</v>
      </c>
      <c r="E89" s="1"/>
      <c r="F89" s="5">
        <f t="shared" si="52"/>
        <v>5.0523170895567647E-2</v>
      </c>
      <c r="G89" s="1"/>
      <c r="H89" s="1">
        <f>SUM(OSRRefH22_18x_0)</f>
        <v>31175</v>
      </c>
      <c r="I89" s="1"/>
      <c r="J89" s="5">
        <f t="shared" si="53"/>
        <v>1.9866456627080323E-2</v>
      </c>
      <c r="K89" s="1"/>
      <c r="L89" s="1">
        <f t="shared" si="54"/>
        <v>59293.740000000005</v>
      </c>
      <c r="M89" s="1"/>
      <c r="N89" s="5">
        <f t="shared" si="55"/>
        <v>1.9019643945469127</v>
      </c>
      <c r="O89" s="14"/>
      <c r="P89" s="1">
        <f>SUM(OSRRefP22_18x_0)</f>
        <v>175051.89</v>
      </c>
      <c r="Q89" s="1"/>
      <c r="R89" s="5">
        <f t="shared" si="56"/>
        <v>4.4592497182557742E-2</v>
      </c>
      <c r="S89" s="1"/>
      <c r="T89" s="1">
        <f>SUM(OSRRefT22_18x_0)</f>
        <v>144898</v>
      </c>
      <c r="U89" s="1"/>
      <c r="V89" s="5">
        <f t="shared" si="57"/>
        <v>4.5945135234031702E-2</v>
      </c>
      <c r="W89" s="1"/>
      <c r="X89" s="1">
        <f t="shared" si="58"/>
        <v>30153.890000000014</v>
      </c>
      <c r="Y89" s="1"/>
      <c r="Z89" s="5">
        <f t="shared" si="59"/>
        <v>0.2081042526466895</v>
      </c>
    </row>
    <row r="90" spans="1:26" s="24" customFormat="1" hidden="1" outlineLevel="2" x14ac:dyDescent="0.25">
      <c r="A90" s="27"/>
      <c r="B90" s="11" t="str">
        <f>CONCATENATE("          ", "6234", " - ", "EXPENDABLE SUPPLIES &amp; EQUIPMEN")</f>
        <v xml:space="preserve">          6234 - EXPENDABLE SUPPLIES &amp; EQUIPMEN</v>
      </c>
      <c r="C90" s="11"/>
      <c r="D90" s="7"/>
      <c r="E90" s="2"/>
      <c r="F90" s="6">
        <f t="shared" si="52"/>
        <v>0</v>
      </c>
      <c r="G90" s="2"/>
      <c r="H90" s="7">
        <v>342</v>
      </c>
      <c r="I90" s="2"/>
      <c r="J90" s="6">
        <f t="shared" si="53"/>
        <v>2.1794156107334307E-4</v>
      </c>
      <c r="K90" s="2"/>
      <c r="L90" s="7">
        <f t="shared" si="54"/>
        <v>-342</v>
      </c>
      <c r="M90" s="2"/>
      <c r="N90" s="6">
        <f t="shared" si="55"/>
        <v>-1</v>
      </c>
      <c r="O90" s="11"/>
      <c r="P90" s="7">
        <v>21.98</v>
      </c>
      <c r="Q90" s="2"/>
      <c r="R90" s="6">
        <f t="shared" si="56"/>
        <v>5.5991574159674547E-6</v>
      </c>
      <c r="S90" s="2"/>
      <c r="T90" s="7">
        <v>1368</v>
      </c>
      <c r="U90" s="2"/>
      <c r="V90" s="6">
        <f t="shared" si="57"/>
        <v>4.3377372358593887E-4</v>
      </c>
      <c r="W90" s="2"/>
      <c r="X90" s="7">
        <f t="shared" si="58"/>
        <v>-1346.02</v>
      </c>
      <c r="Y90" s="2"/>
      <c r="Z90" s="6">
        <f t="shared" si="59"/>
        <v>-0.98393274853801171</v>
      </c>
    </row>
    <row r="91" spans="1:26" s="24" customFormat="1" hidden="1" outlineLevel="2" x14ac:dyDescent="0.25">
      <c r="A91" s="27"/>
      <c r="B91" s="11" t="str">
        <f>CONCATENATE("          ", "6235", " - ", "COVID-19 EXPENSES")</f>
        <v xml:space="preserve">          6235 - COVID-19 EXPENSES</v>
      </c>
      <c r="C91" s="11"/>
      <c r="D91" s="7"/>
      <c r="E91" s="2"/>
      <c r="F91" s="6">
        <f t="shared" si="52"/>
        <v>0</v>
      </c>
      <c r="G91" s="2"/>
      <c r="H91" s="7">
        <v>250</v>
      </c>
      <c r="I91" s="2"/>
      <c r="J91" s="6">
        <f t="shared" si="53"/>
        <v>1.5931400663256071E-4</v>
      </c>
      <c r="K91" s="2"/>
      <c r="L91" s="7">
        <f t="shared" si="54"/>
        <v>-250</v>
      </c>
      <c r="M91" s="2"/>
      <c r="N91" s="6">
        <f t="shared" si="55"/>
        <v>-1</v>
      </c>
      <c r="O91" s="11"/>
      <c r="P91" s="7">
        <v>193.5</v>
      </c>
      <c r="Q91" s="2"/>
      <c r="R91" s="6">
        <f t="shared" si="56"/>
        <v>4.9291945404445064E-5</v>
      </c>
      <c r="S91" s="2"/>
      <c r="T91" s="7">
        <v>1250</v>
      </c>
      <c r="U91" s="2"/>
      <c r="V91" s="6">
        <f t="shared" si="57"/>
        <v>3.9635756906609911E-4</v>
      </c>
      <c r="W91" s="2"/>
      <c r="X91" s="7">
        <f t="shared" si="58"/>
        <v>-1056.5</v>
      </c>
      <c r="Y91" s="2"/>
      <c r="Z91" s="6">
        <f t="shared" si="59"/>
        <v>-0.84519999999999995</v>
      </c>
    </row>
    <row r="92" spans="1:26" s="24" customFormat="1" hidden="1" outlineLevel="2" x14ac:dyDescent="0.25">
      <c r="A92" s="27"/>
      <c r="B92" s="11" t="str">
        <f>CONCATENATE("          ", "6237", " - ", "JANITORIAL SUPPLIES")</f>
        <v xml:space="preserve">          6237 - JANITORIAL SUPPLIES</v>
      </c>
      <c r="C92" s="11"/>
      <c r="D92" s="7">
        <v>5772.14</v>
      </c>
      <c r="E92" s="2"/>
      <c r="F92" s="6">
        <f t="shared" si="52"/>
        <v>3.2235091994554346E-3</v>
      </c>
      <c r="G92" s="2"/>
      <c r="H92" s="7">
        <v>9975</v>
      </c>
      <c r="I92" s="2"/>
      <c r="J92" s="6">
        <f t="shared" si="53"/>
        <v>6.3566288646391732E-3</v>
      </c>
      <c r="K92" s="2"/>
      <c r="L92" s="7">
        <f t="shared" si="54"/>
        <v>-4202.8599999999997</v>
      </c>
      <c r="M92" s="2"/>
      <c r="N92" s="6">
        <f t="shared" si="55"/>
        <v>-0.42133934837092729</v>
      </c>
      <c r="O92" s="11"/>
      <c r="P92" s="7">
        <v>27451.21</v>
      </c>
      <c r="Q92" s="2"/>
      <c r="R92" s="6">
        <f t="shared" si="56"/>
        <v>6.9928865354312985E-3</v>
      </c>
      <c r="S92" s="2"/>
      <c r="T92" s="7">
        <v>44378</v>
      </c>
      <c r="U92" s="2"/>
      <c r="V92" s="6">
        <f t="shared" si="57"/>
        <v>1.4071644960012277E-2</v>
      </c>
      <c r="W92" s="2"/>
      <c r="X92" s="7">
        <f t="shared" si="58"/>
        <v>-16926.79</v>
      </c>
      <c r="Y92" s="2"/>
      <c r="Z92" s="6">
        <f t="shared" si="59"/>
        <v>-0.38142300238857091</v>
      </c>
    </row>
    <row r="93" spans="1:26" s="24" customFormat="1" hidden="1" outlineLevel="2" x14ac:dyDescent="0.25">
      <c r="A93" s="27"/>
      <c r="B93" s="11" t="str">
        <f>CONCATENATE("          ", "6239", " - ", "KITCHEN SUPPLIES")</f>
        <v xml:space="preserve">          6239 - KITCHEN SUPPLIES</v>
      </c>
      <c r="C93" s="11"/>
      <c r="D93" s="7">
        <v>10993.74</v>
      </c>
      <c r="E93" s="2"/>
      <c r="F93" s="6">
        <f t="shared" si="52"/>
        <v>6.1395638405203588E-3</v>
      </c>
      <c r="G93" s="2"/>
      <c r="H93" s="7">
        <v>3900</v>
      </c>
      <c r="I93" s="2"/>
      <c r="J93" s="6">
        <f t="shared" si="53"/>
        <v>2.4852985034679474E-3</v>
      </c>
      <c r="K93" s="2"/>
      <c r="L93" s="7">
        <f t="shared" si="54"/>
        <v>7093.74</v>
      </c>
      <c r="M93" s="2"/>
      <c r="N93" s="6">
        <f t="shared" si="55"/>
        <v>1.8189076923076923</v>
      </c>
      <c r="O93" s="11"/>
      <c r="P93" s="7">
        <v>25113.62</v>
      </c>
      <c r="Q93" s="2"/>
      <c r="R93" s="6">
        <f t="shared" si="56"/>
        <v>6.3974118136846487E-3</v>
      </c>
      <c r="S93" s="2"/>
      <c r="T93" s="7">
        <v>26049</v>
      </c>
      <c r="U93" s="2"/>
      <c r="V93" s="6">
        <f t="shared" si="57"/>
        <v>8.2597746532822522E-3</v>
      </c>
      <c r="W93" s="2"/>
      <c r="X93" s="7">
        <f t="shared" si="58"/>
        <v>-935.38000000000102</v>
      </c>
      <c r="Y93" s="2"/>
      <c r="Z93" s="6">
        <f t="shared" si="59"/>
        <v>-3.5908480171983607E-2</v>
      </c>
    </row>
    <row r="94" spans="1:26" s="24" customFormat="1" hidden="1" outlineLevel="2" x14ac:dyDescent="0.25">
      <c r="A94" s="27"/>
      <c r="B94" s="11" t="str">
        <f>CONCATENATE("          ", "6241", " - ", "OFFICE EXPENSE")</f>
        <v xml:space="preserve">          6241 - OFFICE EXPENSE</v>
      </c>
      <c r="C94" s="11"/>
      <c r="D94" s="7">
        <v>8396.0300000000007</v>
      </c>
      <c r="E94" s="2"/>
      <c r="F94" s="6">
        <f t="shared" si="52"/>
        <v>4.6888467611499052E-3</v>
      </c>
      <c r="G94" s="2"/>
      <c r="H94" s="7">
        <v>1495</v>
      </c>
      <c r="I94" s="2"/>
      <c r="J94" s="6">
        <f t="shared" si="53"/>
        <v>9.5269775966271312E-4</v>
      </c>
      <c r="K94" s="2"/>
      <c r="L94" s="7">
        <f t="shared" si="54"/>
        <v>6901.0300000000007</v>
      </c>
      <c r="M94" s="2"/>
      <c r="N94" s="6">
        <f t="shared" si="55"/>
        <v>4.6160735785953184</v>
      </c>
      <c r="O94" s="11"/>
      <c r="P94" s="7">
        <v>16792.259999999998</v>
      </c>
      <c r="Q94" s="2"/>
      <c r="R94" s="6">
        <f t="shared" si="56"/>
        <v>4.2776390859806026E-3</v>
      </c>
      <c r="S94" s="2"/>
      <c r="T94" s="7">
        <v>8707</v>
      </c>
      <c r="U94" s="2"/>
      <c r="V94" s="6">
        <f t="shared" si="57"/>
        <v>2.7608682830868201E-3</v>
      </c>
      <c r="W94" s="2"/>
      <c r="X94" s="7">
        <f t="shared" si="58"/>
        <v>8085.2599999999984</v>
      </c>
      <c r="Y94" s="2"/>
      <c r="Z94" s="6">
        <f t="shared" si="59"/>
        <v>0.92859308602274016</v>
      </c>
    </row>
    <row r="95" spans="1:26" s="24" customFormat="1" hidden="1" outlineLevel="2" x14ac:dyDescent="0.25">
      <c r="A95" s="27"/>
      <c r="B95" s="11" t="str">
        <f>CONCATENATE("          ", "6243", " - ", "PAPER SUPPLIES")</f>
        <v xml:space="preserve">          6243 - PAPER SUPPLIES</v>
      </c>
      <c r="C95" s="11"/>
      <c r="D95" s="7">
        <v>58236.19</v>
      </c>
      <c r="E95" s="2"/>
      <c r="F95" s="6">
        <f t="shared" si="52"/>
        <v>3.2522581608594836E-2</v>
      </c>
      <c r="G95" s="2"/>
      <c r="H95" s="7">
        <v>14000</v>
      </c>
      <c r="I95" s="2"/>
      <c r="J95" s="6">
        <f t="shared" si="53"/>
        <v>8.9215843714234005E-3</v>
      </c>
      <c r="K95" s="2"/>
      <c r="L95" s="7">
        <f t="shared" si="54"/>
        <v>44236.19</v>
      </c>
      <c r="M95" s="2"/>
      <c r="N95" s="6">
        <f t="shared" si="55"/>
        <v>3.1597278571428573</v>
      </c>
      <c r="O95" s="11"/>
      <c r="P95" s="7">
        <v>97612.68</v>
      </c>
      <c r="Q95" s="2"/>
      <c r="R95" s="6">
        <f t="shared" si="56"/>
        <v>2.4865730714943492E-2</v>
      </c>
      <c r="S95" s="2"/>
      <c r="T95" s="7">
        <v>54733</v>
      </c>
      <c r="U95" s="2"/>
      <c r="V95" s="6">
        <f t="shared" si="57"/>
        <v>1.7355071062155843E-2</v>
      </c>
      <c r="W95" s="2"/>
      <c r="X95" s="7">
        <f t="shared" si="58"/>
        <v>42879.679999999993</v>
      </c>
      <c r="Y95" s="2"/>
      <c r="Z95" s="6">
        <f t="shared" si="59"/>
        <v>0.78343376025432543</v>
      </c>
    </row>
    <row r="96" spans="1:26" s="24" customFormat="1" hidden="1" outlineLevel="2" x14ac:dyDescent="0.25">
      <c r="A96" s="27"/>
      <c r="B96" s="11" t="str">
        <f>CONCATENATE("          ", "6244", " - ", "SAFETY SUPPLY EXPENSE")</f>
        <v xml:space="preserve">          6244 - SAFETY SUPPLY EXPENSE</v>
      </c>
      <c r="C96" s="11"/>
      <c r="D96" s="7"/>
      <c r="E96" s="2"/>
      <c r="F96" s="6">
        <f t="shared" si="52"/>
        <v>0</v>
      </c>
      <c r="G96" s="2"/>
      <c r="H96" s="7">
        <v>525</v>
      </c>
      <c r="I96" s="2"/>
      <c r="J96" s="6">
        <f t="shared" si="53"/>
        <v>3.3455941392837753E-4</v>
      </c>
      <c r="K96" s="2"/>
      <c r="L96" s="7">
        <f t="shared" si="54"/>
        <v>-525</v>
      </c>
      <c r="M96" s="2"/>
      <c r="N96" s="6">
        <f t="shared" si="55"/>
        <v>-1</v>
      </c>
      <c r="O96" s="11"/>
      <c r="P96" s="7"/>
      <c r="Q96" s="2"/>
      <c r="R96" s="6">
        <f t="shared" si="56"/>
        <v>0</v>
      </c>
      <c r="S96" s="2"/>
      <c r="T96" s="7">
        <v>2150</v>
      </c>
      <c r="U96" s="2"/>
      <c r="V96" s="6">
        <f t="shared" si="57"/>
        <v>6.817350187936905E-4</v>
      </c>
      <c r="W96" s="2"/>
      <c r="X96" s="7">
        <f t="shared" si="58"/>
        <v>-2150</v>
      </c>
      <c r="Y96" s="2"/>
      <c r="Z96" s="6">
        <f t="shared" si="59"/>
        <v>-1</v>
      </c>
    </row>
    <row r="97" spans="1:26" s="24" customFormat="1" hidden="1" outlineLevel="2" x14ac:dyDescent="0.25">
      <c r="A97" s="27"/>
      <c r="B97" s="11" t="str">
        <f>CONCATENATE("          ", "6245", " - ", "PRINTING")</f>
        <v xml:space="preserve">          6245 - PRINTING</v>
      </c>
      <c r="C97" s="11"/>
      <c r="D97" s="7">
        <v>1071</v>
      </c>
      <c r="E97" s="2"/>
      <c r="F97" s="6">
        <f t="shared" si="52"/>
        <v>5.981106405279099E-4</v>
      </c>
      <c r="G97" s="2"/>
      <c r="H97" s="7">
        <v>100</v>
      </c>
      <c r="I97" s="2"/>
      <c r="J97" s="6">
        <f t="shared" si="53"/>
        <v>6.372560265302429E-5</v>
      </c>
      <c r="K97" s="2"/>
      <c r="L97" s="7">
        <f t="shared" si="54"/>
        <v>971</v>
      </c>
      <c r="M97" s="2"/>
      <c r="N97" s="6">
        <f t="shared" si="55"/>
        <v>9.7100000000000009</v>
      </c>
      <c r="O97" s="11"/>
      <c r="P97" s="7">
        <v>1071</v>
      </c>
      <c r="Q97" s="2"/>
      <c r="R97" s="6">
        <f t="shared" si="56"/>
        <v>2.7282518619204478E-4</v>
      </c>
      <c r="S97" s="2"/>
      <c r="T97" s="7">
        <v>900</v>
      </c>
      <c r="U97" s="2"/>
      <c r="V97" s="6">
        <f t="shared" si="57"/>
        <v>2.8537744972759139E-4</v>
      </c>
      <c r="W97" s="2"/>
      <c r="X97" s="7">
        <f t="shared" si="58"/>
        <v>171</v>
      </c>
      <c r="Y97" s="2"/>
      <c r="Z97" s="6">
        <f t="shared" si="59"/>
        <v>0.19</v>
      </c>
    </row>
    <row r="98" spans="1:26" s="24" customFormat="1" hidden="1" outlineLevel="2" x14ac:dyDescent="0.25">
      <c r="A98" s="27"/>
      <c r="B98" s="11" t="str">
        <f>CONCATENATE("          ", "6247", " - ", "STORE SUPPLIES")</f>
        <v xml:space="preserve">          6247 - STORE SUPPLIES</v>
      </c>
      <c r="C98" s="11"/>
      <c r="D98" s="7">
        <v>388.41</v>
      </c>
      <c r="E98" s="2"/>
      <c r="F98" s="6">
        <f t="shared" si="52"/>
        <v>2.169114415382311E-4</v>
      </c>
      <c r="G98" s="2"/>
      <c r="H98" s="7"/>
      <c r="I98" s="2"/>
      <c r="J98" s="6">
        <f t="shared" si="53"/>
        <v>0</v>
      </c>
      <c r="K98" s="2"/>
      <c r="L98" s="7">
        <f t="shared" si="54"/>
        <v>388.41</v>
      </c>
      <c r="M98" s="2"/>
      <c r="N98" s="6">
        <f t="shared" si="55"/>
        <v>0</v>
      </c>
      <c r="O98" s="11"/>
      <c r="P98" s="7">
        <v>1184.4100000000001</v>
      </c>
      <c r="Q98" s="2"/>
      <c r="R98" s="6">
        <f t="shared" si="56"/>
        <v>3.0171510623503247E-4</v>
      </c>
      <c r="S98" s="2"/>
      <c r="T98" s="7">
        <v>411</v>
      </c>
      <c r="U98" s="2"/>
      <c r="V98" s="6">
        <f t="shared" si="57"/>
        <v>1.3032236870893338E-4</v>
      </c>
      <c r="W98" s="2"/>
      <c r="X98" s="7">
        <f t="shared" si="58"/>
        <v>773.41000000000008</v>
      </c>
      <c r="Y98" s="2"/>
      <c r="Z98" s="6">
        <f t="shared" si="59"/>
        <v>1.8817761557177617</v>
      </c>
    </row>
    <row r="99" spans="1:26" s="24" customFormat="1" hidden="1" outlineLevel="2" x14ac:dyDescent="0.25">
      <c r="A99" s="27"/>
      <c r="B99" s="11" t="str">
        <f>CONCATENATE("          ", "6248", " - ", "UNIFORMS")</f>
        <v xml:space="preserve">          6248 - UNIFORMS</v>
      </c>
      <c r="C99" s="11"/>
      <c r="D99" s="7">
        <v>5611.23</v>
      </c>
      <c r="E99" s="2"/>
      <c r="F99" s="6">
        <f t="shared" si="52"/>
        <v>3.1336474037809746E-3</v>
      </c>
      <c r="G99" s="2"/>
      <c r="H99" s="7">
        <v>588</v>
      </c>
      <c r="I99" s="2"/>
      <c r="J99" s="6">
        <f t="shared" si="53"/>
        <v>3.7470654359978285E-4</v>
      </c>
      <c r="K99" s="2"/>
      <c r="L99" s="7">
        <f t="shared" si="54"/>
        <v>5023.2299999999996</v>
      </c>
      <c r="M99" s="2"/>
      <c r="N99" s="6">
        <f t="shared" si="55"/>
        <v>8.5429081632653059</v>
      </c>
      <c r="O99" s="11"/>
      <c r="P99" s="7">
        <v>5611.23</v>
      </c>
      <c r="Q99" s="2"/>
      <c r="R99" s="6">
        <f t="shared" si="56"/>
        <v>1.4293976372702028E-3</v>
      </c>
      <c r="S99" s="2"/>
      <c r="T99" s="7">
        <v>4952</v>
      </c>
      <c r="U99" s="2"/>
      <c r="V99" s="6">
        <f t="shared" si="57"/>
        <v>1.5702101456122582E-3</v>
      </c>
      <c r="W99" s="2"/>
      <c r="X99" s="7">
        <f t="shared" si="58"/>
        <v>659.22999999999956</v>
      </c>
      <c r="Y99" s="2"/>
      <c r="Z99" s="6">
        <f t="shared" si="59"/>
        <v>0.1331239903069466</v>
      </c>
    </row>
    <row r="100" spans="1:26" s="28" customFormat="1" outlineLevel="1" collapsed="1" x14ac:dyDescent="0.25">
      <c r="A100" s="29"/>
      <c r="B100" s="14" t="str">
        <f>CONCATENATE("     ","Telephone/Data Lines                              ")</f>
        <v xml:space="preserve">     Telephone/Data Lines                              </v>
      </c>
      <c r="C100" s="14"/>
      <c r="D100" s="1">
        <f>SUM(OSRRefD22_19x_0)</f>
        <v>2237.61</v>
      </c>
      <c r="E100" s="1"/>
      <c r="F100" s="5">
        <f t="shared" ref="F100:F102" si="60">IF(D$12=0,0,D100/D$12)</f>
        <v>1.2496156399175132E-3</v>
      </c>
      <c r="G100" s="1"/>
      <c r="H100" s="1">
        <f>SUM(OSRRefH22_19x_0)</f>
        <v>1111</v>
      </c>
      <c r="I100" s="1"/>
      <c r="J100" s="5">
        <f t="shared" ref="J100:J102" si="61">IF(H$12=0,0,H100/H$12)</f>
        <v>7.0799144547509989E-4</v>
      </c>
      <c r="K100" s="1"/>
      <c r="L100" s="1">
        <f t="shared" ref="L100:L102" si="62">+D100-H100</f>
        <v>1126.6100000000001</v>
      </c>
      <c r="M100" s="1"/>
      <c r="N100" s="5">
        <f t="shared" ref="N100:N102" si="63">IF(H100=0,0,L100/H100)</f>
        <v>1.0140504050405041</v>
      </c>
      <c r="O100" s="14"/>
      <c r="P100" s="1">
        <f>SUM(OSRRefP22_19x_0)</f>
        <v>6113.24</v>
      </c>
      <c r="Q100" s="1"/>
      <c r="R100" s="5">
        <f t="shared" ref="R100:R102" si="64">IF(P$12=0,0,P100/P$12)</f>
        <v>1.5572790300995851E-3</v>
      </c>
      <c r="S100" s="1"/>
      <c r="T100" s="1">
        <f>SUM(OSRRefT22_19x_0)</f>
        <v>4144</v>
      </c>
      <c r="U100" s="1"/>
      <c r="V100" s="5">
        <f t="shared" ref="V100:V102" si="65">IF(T$12=0,0,T100/T$12)</f>
        <v>1.3140046129679317E-3</v>
      </c>
      <c r="W100" s="1"/>
      <c r="X100" s="1">
        <f t="shared" ref="X100:X102" si="66">+P100-T100</f>
        <v>1969.2399999999998</v>
      </c>
      <c r="Y100" s="1"/>
      <c r="Z100" s="5">
        <f t="shared" ref="Z100:Z102" si="67">IF(T100=0,0,X100/T100)</f>
        <v>0.47520270270270265</v>
      </c>
    </row>
    <row r="101" spans="1:26" s="24" customFormat="1" hidden="1" outlineLevel="2" x14ac:dyDescent="0.25">
      <c r="A101" s="27"/>
      <c r="B101" s="11" t="str">
        <f>CONCATENATE("          ", "6303", " - ", "DATA PHONE LINES")</f>
        <v xml:space="preserve">          6303 - DATA PHONE LINES</v>
      </c>
      <c r="C101" s="11"/>
      <c r="D101" s="7"/>
      <c r="E101" s="2"/>
      <c r="F101" s="6">
        <f t="shared" si="60"/>
        <v>0</v>
      </c>
      <c r="G101" s="2"/>
      <c r="H101" s="7">
        <v>193</v>
      </c>
      <c r="I101" s="2"/>
      <c r="J101" s="6">
        <f t="shared" si="61"/>
        <v>1.2299041312033689E-4</v>
      </c>
      <c r="K101" s="2"/>
      <c r="L101" s="7">
        <f t="shared" si="62"/>
        <v>-193</v>
      </c>
      <c r="M101" s="2"/>
      <c r="N101" s="6">
        <f t="shared" si="63"/>
        <v>-1</v>
      </c>
      <c r="O101" s="11"/>
      <c r="P101" s="7"/>
      <c r="Q101" s="2"/>
      <c r="R101" s="6">
        <f t="shared" si="64"/>
        <v>0</v>
      </c>
      <c r="S101" s="2"/>
      <c r="T101" s="7">
        <v>772</v>
      </c>
      <c r="U101" s="2"/>
      <c r="V101" s="6">
        <f t="shared" si="65"/>
        <v>2.4479043465522283E-4</v>
      </c>
      <c r="W101" s="2"/>
      <c r="X101" s="7">
        <f t="shared" si="66"/>
        <v>-772</v>
      </c>
      <c r="Y101" s="2"/>
      <c r="Z101" s="6">
        <f t="shared" si="67"/>
        <v>-1</v>
      </c>
    </row>
    <row r="102" spans="1:26" s="24" customFormat="1" hidden="1" outlineLevel="2" x14ac:dyDescent="0.25">
      <c r="A102" s="27"/>
      <c r="B102" s="11" t="str">
        <f>CONCATENATE("          ", "6309", " - ", "TELEPHONE")</f>
        <v xml:space="preserve">          6309 - TELEPHONE</v>
      </c>
      <c r="C102" s="11"/>
      <c r="D102" s="7">
        <v>2237.61</v>
      </c>
      <c r="E102" s="2"/>
      <c r="F102" s="6">
        <f t="shared" si="60"/>
        <v>1.2496156399175132E-3</v>
      </c>
      <c r="G102" s="2"/>
      <c r="H102" s="7">
        <v>918</v>
      </c>
      <c r="I102" s="2"/>
      <c r="J102" s="6">
        <f t="shared" si="61"/>
        <v>5.85001032354763E-4</v>
      </c>
      <c r="K102" s="2"/>
      <c r="L102" s="7">
        <f t="shared" si="62"/>
        <v>1319.6100000000001</v>
      </c>
      <c r="M102" s="2"/>
      <c r="N102" s="6">
        <f t="shared" si="63"/>
        <v>1.437483660130719</v>
      </c>
      <c r="O102" s="11"/>
      <c r="P102" s="7">
        <v>6113.24</v>
      </c>
      <c r="Q102" s="2"/>
      <c r="R102" s="6">
        <f t="shared" si="64"/>
        <v>1.5572790300995851E-3</v>
      </c>
      <c r="S102" s="2"/>
      <c r="T102" s="7">
        <v>3372</v>
      </c>
      <c r="U102" s="2"/>
      <c r="V102" s="6">
        <f t="shared" si="65"/>
        <v>1.069214178312709E-3</v>
      </c>
      <c r="W102" s="2"/>
      <c r="X102" s="7">
        <f t="shared" si="66"/>
        <v>2741.24</v>
      </c>
      <c r="Y102" s="2"/>
      <c r="Z102" s="6">
        <f t="shared" si="67"/>
        <v>0.81294187425860021</v>
      </c>
    </row>
    <row r="103" spans="1:26" s="28" customFormat="1" outlineLevel="1" collapsed="1" x14ac:dyDescent="0.25">
      <c r="A103" s="29"/>
      <c r="B103" s="14" t="str">
        <f>CONCATENATE("     ","Training                                          ")</f>
        <v xml:space="preserve">     Training                                          </v>
      </c>
      <c r="C103" s="14"/>
      <c r="D103" s="1">
        <f>SUM(OSRRefD22_20x_0)</f>
        <v>0</v>
      </c>
      <c r="E103" s="1"/>
      <c r="F103" s="5">
        <f t="shared" ref="F103:F107" si="68">IF(D$12=0,0,D103/D$12)</f>
        <v>0</v>
      </c>
      <c r="G103" s="1"/>
      <c r="H103" s="1">
        <f>SUM(OSRRefH22_20x_0)</f>
        <v>640</v>
      </c>
      <c r="I103" s="1"/>
      <c r="J103" s="5">
        <f t="shared" ref="J103:J107" si="69">IF(H$12=0,0,H103/H$12)</f>
        <v>4.0784385697935544E-4</v>
      </c>
      <c r="K103" s="1"/>
      <c r="L103" s="1">
        <f t="shared" ref="L103:L107" si="70">+D103-H103</f>
        <v>-640</v>
      </c>
      <c r="M103" s="1"/>
      <c r="N103" s="5">
        <f t="shared" ref="N103:N107" si="71">IF(H103=0,0,L103/H103)</f>
        <v>-1</v>
      </c>
      <c r="O103" s="14"/>
      <c r="P103" s="1">
        <f>SUM(OSRRefP22_20x_0)</f>
        <v>0</v>
      </c>
      <c r="Q103" s="1"/>
      <c r="R103" s="5">
        <f t="shared" ref="R103:R107" si="72">IF(P$12=0,0,P103/P$12)</f>
        <v>0</v>
      </c>
      <c r="S103" s="1"/>
      <c r="T103" s="1">
        <f>SUM(OSRRefT22_20x_0)</f>
        <v>3360</v>
      </c>
      <c r="U103" s="1"/>
      <c r="V103" s="5">
        <f t="shared" ref="V103:V107" si="73">IF(T$12=0,0,T103/T$12)</f>
        <v>1.0654091456496744E-3</v>
      </c>
      <c r="W103" s="1"/>
      <c r="X103" s="1">
        <f t="shared" ref="X103:X107" si="74">+P103-T103</f>
        <v>-3360</v>
      </c>
      <c r="Y103" s="1"/>
      <c r="Z103" s="5">
        <f t="shared" ref="Z103:Z107" si="75">IF(T103=0,0,X103/T103)</f>
        <v>-1</v>
      </c>
    </row>
    <row r="104" spans="1:26" s="24" customFormat="1" hidden="1" outlineLevel="2" x14ac:dyDescent="0.25">
      <c r="A104" s="27"/>
      <c r="B104" s="11" t="str">
        <f>CONCATENATE("          ", "6376", " - ", "TRAINING")</f>
        <v xml:space="preserve">          6376 - TRAINING</v>
      </c>
      <c r="C104" s="11"/>
      <c r="D104" s="7"/>
      <c r="E104" s="2"/>
      <c r="F104" s="6">
        <f t="shared" si="68"/>
        <v>0</v>
      </c>
      <c r="G104" s="2"/>
      <c r="H104" s="7">
        <v>640</v>
      </c>
      <c r="I104" s="2"/>
      <c r="J104" s="6">
        <f t="shared" si="69"/>
        <v>4.0784385697935544E-4</v>
      </c>
      <c r="K104" s="2"/>
      <c r="L104" s="7">
        <f t="shared" si="70"/>
        <v>-640</v>
      </c>
      <c r="M104" s="2"/>
      <c r="N104" s="6">
        <f t="shared" si="71"/>
        <v>-1</v>
      </c>
      <c r="O104" s="11"/>
      <c r="P104" s="7"/>
      <c r="Q104" s="2"/>
      <c r="R104" s="6">
        <f t="shared" si="72"/>
        <v>0</v>
      </c>
      <c r="S104" s="2"/>
      <c r="T104" s="7">
        <v>3360</v>
      </c>
      <c r="U104" s="2"/>
      <c r="V104" s="6">
        <f t="shared" si="73"/>
        <v>1.0654091456496744E-3</v>
      </c>
      <c r="W104" s="2"/>
      <c r="X104" s="7">
        <f t="shared" si="74"/>
        <v>-3360</v>
      </c>
      <c r="Y104" s="2"/>
      <c r="Z104" s="6">
        <f t="shared" si="75"/>
        <v>-1</v>
      </c>
    </row>
    <row r="105" spans="1:26" s="28" customFormat="1" outlineLevel="1" collapsed="1" x14ac:dyDescent="0.25">
      <c r="A105" s="29"/>
      <c r="B105" s="14" t="str">
        <f>CONCATENATE("     ","Travel                                            ")</f>
        <v xml:space="preserve">     Travel                                            </v>
      </c>
      <c r="C105" s="14"/>
      <c r="D105" s="1">
        <f>SUM(OSRRefD22_21x_0)</f>
        <v>0</v>
      </c>
      <c r="E105" s="1"/>
      <c r="F105" s="5">
        <f t="shared" si="68"/>
        <v>0</v>
      </c>
      <c r="G105" s="1"/>
      <c r="H105" s="1">
        <f>SUM(OSRRefH22_21x_0)</f>
        <v>0</v>
      </c>
      <c r="I105" s="1"/>
      <c r="J105" s="5">
        <f t="shared" si="69"/>
        <v>0</v>
      </c>
      <c r="K105" s="1"/>
      <c r="L105" s="1">
        <f t="shared" si="70"/>
        <v>0</v>
      </c>
      <c r="M105" s="1"/>
      <c r="N105" s="5">
        <f t="shared" si="71"/>
        <v>0</v>
      </c>
      <c r="O105" s="14"/>
      <c r="P105" s="1">
        <f>SUM(OSRRefP22_21x_0)</f>
        <v>699.02</v>
      </c>
      <c r="Q105" s="1"/>
      <c r="R105" s="5">
        <f t="shared" si="72"/>
        <v>1.7806747119697772E-4</v>
      </c>
      <c r="S105" s="1"/>
      <c r="T105" s="1">
        <f>SUM(OSRRefT22_21x_0)</f>
        <v>0</v>
      </c>
      <c r="U105" s="1"/>
      <c r="V105" s="5">
        <f t="shared" si="73"/>
        <v>0</v>
      </c>
      <c r="W105" s="1"/>
      <c r="X105" s="1">
        <f t="shared" si="74"/>
        <v>699.02</v>
      </c>
      <c r="Y105" s="1"/>
      <c r="Z105" s="5">
        <f t="shared" si="75"/>
        <v>0</v>
      </c>
    </row>
    <row r="106" spans="1:26" s="24" customFormat="1" hidden="1" outlineLevel="2" x14ac:dyDescent="0.25">
      <c r="A106" s="27"/>
      <c r="B106" s="11" t="str">
        <f>CONCATENATE("          ", "6292", " - ", "TRAVEL/CONFERENCE")</f>
        <v xml:space="preserve">          6292 - TRAVEL/CONFERENCE</v>
      </c>
      <c r="C106" s="11"/>
      <c r="D106" s="7"/>
      <c r="E106" s="2"/>
      <c r="F106" s="6">
        <f t="shared" si="68"/>
        <v>0</v>
      </c>
      <c r="G106" s="2"/>
      <c r="H106" s="7"/>
      <c r="I106" s="2"/>
      <c r="J106" s="6">
        <f t="shared" si="69"/>
        <v>0</v>
      </c>
      <c r="K106" s="2"/>
      <c r="L106" s="7">
        <f t="shared" si="70"/>
        <v>0</v>
      </c>
      <c r="M106" s="2"/>
      <c r="N106" s="6">
        <f t="shared" si="71"/>
        <v>0</v>
      </c>
      <c r="O106" s="11"/>
      <c r="P106" s="7">
        <v>595</v>
      </c>
      <c r="Q106" s="2"/>
      <c r="R106" s="6">
        <f t="shared" si="72"/>
        <v>1.5156954788446932E-4</v>
      </c>
      <c r="S106" s="2"/>
      <c r="T106" s="7"/>
      <c r="U106" s="2"/>
      <c r="V106" s="6">
        <f t="shared" si="73"/>
        <v>0</v>
      </c>
      <c r="W106" s="2"/>
      <c r="X106" s="7">
        <f t="shared" si="74"/>
        <v>595</v>
      </c>
      <c r="Y106" s="2"/>
      <c r="Z106" s="6">
        <f t="shared" si="75"/>
        <v>0</v>
      </c>
    </row>
    <row r="107" spans="1:26" s="24" customFormat="1" hidden="1" outlineLevel="2" x14ac:dyDescent="0.25">
      <c r="A107" s="27"/>
      <c r="B107" s="11" t="str">
        <f>CONCATENATE("          ", "6298", " - ", "VEHICLE MILEAGE")</f>
        <v xml:space="preserve">          6298 - VEHICLE MILEAGE</v>
      </c>
      <c r="C107" s="11"/>
      <c r="D107" s="7"/>
      <c r="E107" s="2"/>
      <c r="F107" s="6">
        <f t="shared" si="68"/>
        <v>0</v>
      </c>
      <c r="G107" s="2"/>
      <c r="H107" s="7"/>
      <c r="I107" s="2"/>
      <c r="J107" s="6">
        <f t="shared" si="69"/>
        <v>0</v>
      </c>
      <c r="K107" s="2"/>
      <c r="L107" s="7">
        <f t="shared" si="70"/>
        <v>0</v>
      </c>
      <c r="M107" s="2"/>
      <c r="N107" s="6">
        <f t="shared" si="71"/>
        <v>0</v>
      </c>
      <c r="O107" s="11"/>
      <c r="P107" s="7">
        <v>104.02</v>
      </c>
      <c r="Q107" s="2"/>
      <c r="R107" s="6">
        <f t="shared" si="72"/>
        <v>2.64979233125084E-5</v>
      </c>
      <c r="S107" s="2"/>
      <c r="T107" s="7"/>
      <c r="U107" s="2"/>
      <c r="V107" s="6">
        <f t="shared" si="73"/>
        <v>0</v>
      </c>
      <c r="W107" s="2"/>
      <c r="X107" s="7">
        <f t="shared" si="74"/>
        <v>104.02</v>
      </c>
      <c r="Y107" s="2"/>
      <c r="Z107" s="6">
        <f t="shared" si="75"/>
        <v>0</v>
      </c>
    </row>
    <row r="108" spans="1:26" s="28" customFormat="1" outlineLevel="1" collapsed="1" x14ac:dyDescent="0.25">
      <c r="A108" s="29"/>
      <c r="B108" s="14" t="str">
        <f>CONCATENATE("     ","Utilities                                         ")</f>
        <v xml:space="preserve">     Utilities                                         </v>
      </c>
      <c r="C108" s="14"/>
      <c r="D108" s="1">
        <f>SUM(OSRRefD22_22x_0)</f>
        <v>5750</v>
      </c>
      <c r="E108" s="1"/>
      <c r="F108" s="5">
        <f t="shared" ref="F108:F109" si="76">IF(D$12=0,0,D108/D$12)</f>
        <v>3.2111448954579664E-3</v>
      </c>
      <c r="G108" s="1"/>
      <c r="H108" s="1">
        <f>SUM(OSRRefH22_22x_0)</f>
        <v>8667</v>
      </c>
      <c r="I108" s="1"/>
      <c r="J108" s="5">
        <f t="shared" ref="J108:J109" si="77">IF(H$12=0,0,H108/H$12)</f>
        <v>5.5230979819376148E-3</v>
      </c>
      <c r="K108" s="1"/>
      <c r="L108" s="1">
        <f t="shared" ref="L108:L109" si="78">+D108-H108</f>
        <v>-2917</v>
      </c>
      <c r="M108" s="1"/>
      <c r="N108" s="5">
        <f t="shared" ref="N108:N109" si="79">IF(H108=0,0,L108/H108)</f>
        <v>-0.33656397830852658</v>
      </c>
      <c r="O108" s="14"/>
      <c r="P108" s="1">
        <f>SUM(OSRRefP22_22x_0)</f>
        <v>30200</v>
      </c>
      <c r="Q108" s="1"/>
      <c r="R108" s="5">
        <f t="shared" ref="R108:R109" si="80">IF(P$12=0,0,P108/P$12)</f>
        <v>7.693109825396594E-3</v>
      </c>
      <c r="S108" s="1"/>
      <c r="T108" s="1">
        <f>SUM(OSRRefT22_22x_0)</f>
        <v>34668</v>
      </c>
      <c r="U108" s="1"/>
      <c r="V108" s="5">
        <f t="shared" ref="V108:V109" si="81">IF(T$12=0,0,T108/T$12)</f>
        <v>1.099273936350682E-2</v>
      </c>
      <c r="W108" s="1"/>
      <c r="X108" s="1">
        <f t="shared" ref="X108:X109" si="82">+P108-T108</f>
        <v>-4468</v>
      </c>
      <c r="Y108" s="1"/>
      <c r="Z108" s="5">
        <f t="shared" ref="Z108:Z109" si="83">IF(T108=0,0,X108/T108)</f>
        <v>-0.12887965847467406</v>
      </c>
    </row>
    <row r="109" spans="1:26" s="24" customFormat="1" hidden="1" outlineLevel="2" x14ac:dyDescent="0.25">
      <c r="A109" s="27"/>
      <c r="B109" s="11" t="str">
        <f>CONCATENATE("          ", "6274", " - ", "UTILITIES")</f>
        <v xml:space="preserve">          6274 - UTILITIES</v>
      </c>
      <c r="C109" s="11"/>
      <c r="D109" s="7">
        <v>5750</v>
      </c>
      <c r="E109" s="2"/>
      <c r="F109" s="6">
        <f t="shared" si="76"/>
        <v>3.2111448954579664E-3</v>
      </c>
      <c r="G109" s="2"/>
      <c r="H109" s="7">
        <v>8667</v>
      </c>
      <c r="I109" s="2"/>
      <c r="J109" s="6">
        <f t="shared" si="77"/>
        <v>5.5230979819376148E-3</v>
      </c>
      <c r="K109" s="2"/>
      <c r="L109" s="7">
        <f t="shared" si="78"/>
        <v>-2917</v>
      </c>
      <c r="M109" s="2"/>
      <c r="N109" s="6">
        <f t="shared" si="79"/>
        <v>-0.33656397830852658</v>
      </c>
      <c r="O109" s="11"/>
      <c r="P109" s="7">
        <v>30200</v>
      </c>
      <c r="Q109" s="2"/>
      <c r="R109" s="6">
        <f t="shared" si="80"/>
        <v>7.693109825396594E-3</v>
      </c>
      <c r="S109" s="2"/>
      <c r="T109" s="7">
        <v>34668</v>
      </c>
      <c r="U109" s="2"/>
      <c r="V109" s="6">
        <f t="shared" si="81"/>
        <v>1.099273936350682E-2</v>
      </c>
      <c r="W109" s="2"/>
      <c r="X109" s="7">
        <f t="shared" si="82"/>
        <v>-4468</v>
      </c>
      <c r="Y109" s="2"/>
      <c r="Z109" s="6">
        <f t="shared" si="83"/>
        <v>-0.12887965847467406</v>
      </c>
    </row>
    <row r="110" spans="1:26" s="60" customFormat="1" x14ac:dyDescent="0.25">
      <c r="A110" s="36"/>
      <c r="B110" s="36"/>
      <c r="C110" s="36"/>
      <c r="D110" s="1"/>
      <c r="E110" s="1"/>
      <c r="F110" s="5"/>
      <c r="G110" s="1"/>
      <c r="H110" s="1"/>
      <c r="I110" s="1"/>
      <c r="J110" s="5"/>
      <c r="K110" s="1"/>
      <c r="L110" s="1"/>
      <c r="M110" s="1"/>
      <c r="N110" s="5"/>
      <c r="O110" s="36"/>
      <c r="P110" s="1"/>
      <c r="Q110" s="1"/>
      <c r="R110" s="5"/>
      <c r="S110" s="1"/>
      <c r="T110" s="1"/>
      <c r="U110" s="1"/>
      <c r="V110" s="5"/>
      <c r="W110" s="1"/>
      <c r="X110" s="1"/>
      <c r="Y110" s="1"/>
      <c r="Z110" s="5"/>
    </row>
    <row r="111" spans="1:26" s="23" customFormat="1" collapsed="1" x14ac:dyDescent="0.25">
      <c r="A111" s="10"/>
      <c r="B111" s="25" t="s">
        <v>293</v>
      </c>
      <c r="C111" s="10"/>
      <c r="D111" s="4">
        <f>SUM(OSRRefD25x_0)</f>
        <v>6812.67</v>
      </c>
      <c r="E111" s="4"/>
      <c r="F111" s="12">
        <f t="shared" ref="F111:F114" si="84">IF(D$12=0,0,D111/D$12)</f>
        <v>3.8046035643373262E-3</v>
      </c>
      <c r="G111" s="4"/>
      <c r="H111" s="4">
        <f>SUM(OSRRefH25x_0)</f>
        <v>250</v>
      </c>
      <c r="I111" s="4"/>
      <c r="J111" s="12">
        <f t="shared" ref="J111:J114" si="85">IF(H$12=0,0,H111/H$12)</f>
        <v>1.5931400663256071E-4</v>
      </c>
      <c r="K111" s="4"/>
      <c r="L111" s="4">
        <f t="shared" ref="L111:L114" si="86">+D111-H111</f>
        <v>6562.67</v>
      </c>
      <c r="M111" s="4"/>
      <c r="N111" s="12">
        <f t="shared" ref="N111:N114" si="87">IF(H111=0,0,L111/H111)</f>
        <v>26.250679999999999</v>
      </c>
      <c r="O111" s="10"/>
      <c r="P111" s="4">
        <f>SUM(OSRRefP25x_0)</f>
        <v>24006.720000000001</v>
      </c>
      <c r="Q111" s="4"/>
      <c r="R111" s="12">
        <f t="shared" ref="R111:R114" si="88">IF(P$12=0,0,P111/P$12)</f>
        <v>6.115441506872348E-3</v>
      </c>
      <c r="S111" s="4"/>
      <c r="T111" s="4">
        <f>SUM(OSRRefT25x_0)</f>
        <v>500</v>
      </c>
      <c r="U111" s="4"/>
      <c r="V111" s="12">
        <f t="shared" ref="V111:V114" si="89">IF(T$12=0,0,T111/T$12)</f>
        <v>1.5854302762643966E-4</v>
      </c>
      <c r="W111" s="4"/>
      <c r="X111" s="4">
        <f t="shared" ref="X111:X114" si="90">+P111-T111</f>
        <v>23506.720000000001</v>
      </c>
      <c r="Y111" s="4"/>
      <c r="Z111" s="12">
        <f t="shared" ref="Z111:Z114" si="91">IF(T111=0,0,X111/T111)</f>
        <v>47.013440000000003</v>
      </c>
    </row>
    <row r="112" spans="1:26" s="24" customFormat="1" hidden="1" outlineLevel="1" x14ac:dyDescent="0.25">
      <c r="A112" s="44"/>
      <c r="B112" s="11" t="str">
        <f>CONCATENATE("          ", "9150", " - ", "MISC. INCOME")</f>
        <v xml:space="preserve">          9150 - MISC. INCOME</v>
      </c>
      <c r="C112" s="11"/>
      <c r="D112" s="2">
        <f>--6812.67</f>
        <v>6812.67</v>
      </c>
      <c r="E112" s="2"/>
      <c r="F112" s="19">
        <f t="shared" si="84"/>
        <v>3.8046035643373262E-3</v>
      </c>
      <c r="G112" s="2"/>
      <c r="H112" s="2">
        <v>250</v>
      </c>
      <c r="I112" s="2"/>
      <c r="J112" s="19">
        <f t="shared" si="85"/>
        <v>1.5931400663256071E-4</v>
      </c>
      <c r="K112" s="2"/>
      <c r="L112" s="2">
        <f t="shared" si="86"/>
        <v>6562.67</v>
      </c>
      <c r="M112" s="2"/>
      <c r="N112" s="19">
        <f t="shared" si="87"/>
        <v>26.250679999999999</v>
      </c>
      <c r="O112" s="11"/>
      <c r="P112" s="2">
        <f>--24006.72</f>
        <v>24006.720000000001</v>
      </c>
      <c r="Q112" s="2"/>
      <c r="R112" s="19">
        <f t="shared" si="88"/>
        <v>6.115441506872348E-3</v>
      </c>
      <c r="S112" s="2"/>
      <c r="T112" s="2">
        <v>500</v>
      </c>
      <c r="U112" s="2"/>
      <c r="V112" s="19">
        <f t="shared" si="89"/>
        <v>1.5854302762643966E-4</v>
      </c>
      <c r="W112" s="2"/>
      <c r="X112" s="2">
        <f t="shared" si="90"/>
        <v>23506.720000000001</v>
      </c>
      <c r="Y112" s="2"/>
      <c r="Z112" s="19">
        <f t="shared" si="91"/>
        <v>47.013440000000003</v>
      </c>
    </row>
    <row r="113" spans="1:26" s="24" customFormat="1" hidden="1" outlineLevel="1" x14ac:dyDescent="0.25">
      <c r="A113" s="44"/>
      <c r="B113" s="11" t="str">
        <f>CONCATENATE("          ", "9160", " - ", "MISC. INCOME")</f>
        <v xml:space="preserve">          9160 - MISC. INCOME</v>
      </c>
      <c r="C113" s="11"/>
      <c r="D113" s="2">
        <f t="shared" ref="D113:D114" si="92">0</f>
        <v>0</v>
      </c>
      <c r="E113" s="2"/>
      <c r="F113" s="19">
        <f t="shared" si="84"/>
        <v>0</v>
      </c>
      <c r="G113" s="2"/>
      <c r="H113" s="2"/>
      <c r="I113" s="2"/>
      <c r="J113" s="19">
        <f t="shared" si="85"/>
        <v>0</v>
      </c>
      <c r="K113" s="2"/>
      <c r="L113" s="2">
        <f t="shared" si="86"/>
        <v>0</v>
      </c>
      <c r="M113" s="2"/>
      <c r="N113" s="19">
        <f t="shared" si="87"/>
        <v>0</v>
      </c>
      <c r="O113" s="11"/>
      <c r="P113" s="2">
        <f t="shared" ref="P113:P114" si="93">0</f>
        <v>0</v>
      </c>
      <c r="Q113" s="2"/>
      <c r="R113" s="19">
        <f t="shared" si="88"/>
        <v>0</v>
      </c>
      <c r="S113" s="2"/>
      <c r="T113" s="2"/>
      <c r="U113" s="2"/>
      <c r="V113" s="19">
        <f t="shared" si="89"/>
        <v>0</v>
      </c>
      <c r="W113" s="2"/>
      <c r="X113" s="2">
        <f t="shared" si="90"/>
        <v>0</v>
      </c>
      <c r="Y113" s="2"/>
      <c r="Z113" s="19">
        <f t="shared" si="91"/>
        <v>0</v>
      </c>
    </row>
    <row r="114" spans="1:26" s="24" customFormat="1" hidden="1" outlineLevel="1" x14ac:dyDescent="0.25">
      <c r="A114" s="44"/>
      <c r="B114" s="11" t="str">
        <f>CONCATENATE("          ", "9165", " - ", "OTHER INCOME")</f>
        <v xml:space="preserve">          9165 - OTHER INCOME</v>
      </c>
      <c r="C114" s="11"/>
      <c r="D114" s="2">
        <f t="shared" si="92"/>
        <v>0</v>
      </c>
      <c r="E114" s="2"/>
      <c r="F114" s="19">
        <f t="shared" si="84"/>
        <v>0</v>
      </c>
      <c r="G114" s="2"/>
      <c r="H114" s="2"/>
      <c r="I114" s="2"/>
      <c r="J114" s="19">
        <f t="shared" si="85"/>
        <v>0</v>
      </c>
      <c r="K114" s="2"/>
      <c r="L114" s="2">
        <f t="shared" si="86"/>
        <v>0</v>
      </c>
      <c r="M114" s="2"/>
      <c r="N114" s="19">
        <f t="shared" si="87"/>
        <v>0</v>
      </c>
      <c r="O114" s="11"/>
      <c r="P114" s="2">
        <f t="shared" si="93"/>
        <v>0</v>
      </c>
      <c r="Q114" s="2"/>
      <c r="R114" s="19">
        <f t="shared" si="88"/>
        <v>0</v>
      </c>
      <c r="S114" s="2"/>
      <c r="T114" s="2"/>
      <c r="U114" s="2"/>
      <c r="V114" s="19">
        <f t="shared" si="89"/>
        <v>0</v>
      </c>
      <c r="W114" s="2"/>
      <c r="X114" s="2">
        <f t="shared" si="90"/>
        <v>0</v>
      </c>
      <c r="Y114" s="2"/>
      <c r="Z114" s="19">
        <f t="shared" si="91"/>
        <v>0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10"/>
      <c r="B116" s="26" t="s">
        <v>277</v>
      </c>
      <c r="C116" s="26"/>
      <c r="D116" s="21">
        <f>+D25-D27+D111</f>
        <v>311683.56999999966</v>
      </c>
      <c r="E116" s="13"/>
      <c r="F116" s="20">
        <f>IF(D$12=0,0,D116/D$12)</f>
        <v>0.17406280083541126</v>
      </c>
      <c r="G116" s="13"/>
      <c r="H116" s="21">
        <f>+H25-H27+H111</f>
        <v>283530.66865028848</v>
      </c>
      <c r="I116" s="13"/>
      <c r="J116" s="20">
        <f>IF(H$12=0,0,H116/H$12)</f>
        <v>0.18068162730354576</v>
      </c>
      <c r="K116" s="15"/>
      <c r="L116" s="21">
        <f>+D116-H116</f>
        <v>28152.901349711174</v>
      </c>
      <c r="M116" s="15"/>
      <c r="N116" s="20">
        <f>IF(H116=0,0,L116/H116)</f>
        <v>9.9294025170996364E-2</v>
      </c>
      <c r="O116" s="25"/>
      <c r="P116" s="21">
        <f>+P25-P27+P111</f>
        <v>315266.04000000027</v>
      </c>
      <c r="Q116" s="13"/>
      <c r="R116" s="20">
        <f>IF(P$12=0,0,P116/P$12)</f>
        <v>8.0310472514499257E-2</v>
      </c>
      <c r="S116" s="13"/>
      <c r="T116" s="21">
        <f>+T25-T27+T111</f>
        <v>-462229.90051651234</v>
      </c>
      <c r="U116" s="13"/>
      <c r="V116" s="20">
        <f>IF(T$12=0,0,T116/T$12)</f>
        <v>-0.14656665577471173</v>
      </c>
      <c r="W116" s="15"/>
      <c r="X116" s="21">
        <f>+P116-T116</f>
        <v>777495.94051651261</v>
      </c>
      <c r="Y116" s="15"/>
      <c r="Z116" s="20">
        <f>IF(T116=0,0,X116/T116)</f>
        <v>-1.6820546218401506</v>
      </c>
    </row>
    <row r="117" spans="1:26" x14ac:dyDescent="0.25">
      <c r="A117" s="9"/>
      <c r="B117" s="10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52"/>
      <c r="B118" s="10" t="s">
        <v>128</v>
      </c>
      <c r="C118" s="10"/>
      <c r="D118" s="4">
        <v>189510.82</v>
      </c>
      <c r="E118" s="4"/>
      <c r="F118" s="12">
        <f>IF(D$12=0,0,D118/D$12)</f>
        <v>0.10583420909166148</v>
      </c>
      <c r="G118" s="4"/>
      <c r="H118" s="4">
        <v>190596</v>
      </c>
      <c r="I118" s="4"/>
      <c r="J118" s="12">
        <f>IF(H$12=0,0,H118/H$12)</f>
        <v>0.12145844963255817</v>
      </c>
      <c r="K118" s="4"/>
      <c r="L118" s="4">
        <f>+D118-H118</f>
        <v>-1085.179999999993</v>
      </c>
      <c r="M118" s="4"/>
      <c r="N118" s="12">
        <f>IF(H118=0,0,L118/H118)</f>
        <v>-5.693613716971988E-3</v>
      </c>
      <c r="O118" s="10"/>
      <c r="P118" s="4">
        <v>453765.84</v>
      </c>
      <c r="Q118" s="4"/>
      <c r="R118" s="12">
        <f>IF(P$12=0,0,P118/P$12)</f>
        <v>0.11559173649448141</v>
      </c>
      <c r="S118" s="4"/>
      <c r="T118" s="4">
        <v>362646</v>
      </c>
      <c r="U118" s="4"/>
      <c r="V118" s="12">
        <f>IF(T$12=0,0,T118/T$12)</f>
        <v>0.11498998959323567</v>
      </c>
      <c r="W118" s="4"/>
      <c r="X118" s="4">
        <f>+P118-T118</f>
        <v>91119.840000000026</v>
      </c>
      <c r="Y118" s="4"/>
      <c r="Z118" s="12">
        <f>IF(T118=0,0,X118/T118)</f>
        <v>0.25126387716947113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ht="15.75" thickBot="1" x14ac:dyDescent="0.3">
      <c r="A120" s="10"/>
      <c r="B120" s="26" t="s">
        <v>126</v>
      </c>
      <c r="C120" s="26"/>
      <c r="D120" s="31">
        <f>+D116-D118</f>
        <v>122172.74999999965</v>
      </c>
      <c r="E120" s="13"/>
      <c r="F120" s="33">
        <f>IF(D$12=0,0,D120/D$12)</f>
        <v>6.8228591743749775E-2</v>
      </c>
      <c r="G120" s="13"/>
      <c r="H120" s="31">
        <f>+H116-H118</f>
        <v>92934.668650288484</v>
      </c>
      <c r="I120" s="13"/>
      <c r="J120" s="33">
        <f>IF(H$12=0,0,H120/H$12)</f>
        <v>5.9223177670987573E-2</v>
      </c>
      <c r="K120" s="15"/>
      <c r="L120" s="31">
        <f>D120-H120</f>
        <v>29238.081349711167</v>
      </c>
      <c r="M120" s="15"/>
      <c r="N120" s="33">
        <f>IF(H120=0,0,L120/H120)</f>
        <v>0.31460898041971347</v>
      </c>
      <c r="O120" s="25"/>
      <c r="P120" s="31">
        <f>+P116-P118</f>
        <v>-138499.79999999976</v>
      </c>
      <c r="Q120" s="13"/>
      <c r="R120" s="33">
        <f>IF(P$12=0,0,P120/P$12)</f>
        <v>-3.5281263979982158E-2</v>
      </c>
      <c r="S120" s="13"/>
      <c r="T120" s="31">
        <f>+T116-T118</f>
        <v>-824875.90051651234</v>
      </c>
      <c r="U120" s="13"/>
      <c r="V120" s="33">
        <f>IF(T$12=0,0,T120/T$12)</f>
        <v>-0.26155664536794743</v>
      </c>
      <c r="W120" s="15"/>
      <c r="X120" s="31">
        <f>P120-T120</f>
        <v>686376.10051651252</v>
      </c>
      <c r="Y120" s="15"/>
      <c r="Z120" s="33">
        <f>IF(T120=0,0,X120/T120)</f>
        <v>-0.83209619784833644</v>
      </c>
    </row>
    <row r="121" spans="1:26" ht="15.75" thickTop="1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6" t="s">
        <v>294</v>
      </c>
      <c r="C123" s="26"/>
      <c r="D123" s="35">
        <f>SUM(D120:D122)</f>
        <v>122172.74999999965</v>
      </c>
      <c r="E123" s="13"/>
      <c r="F123" s="32">
        <f>IF(D$12=0,0,D123/D$12)</f>
        <v>6.8228591743749775E-2</v>
      </c>
      <c r="G123" s="13"/>
      <c r="H123" s="35">
        <f>SUM(H120:H122)</f>
        <v>92934.668650288484</v>
      </c>
      <c r="I123" s="13"/>
      <c r="J123" s="32">
        <f>IF(H$12=0,0,H123/H$12)</f>
        <v>5.9223177670987573E-2</v>
      </c>
      <c r="K123" s="15"/>
      <c r="L123" s="35">
        <f>+D123-H123</f>
        <v>29238.081349711167</v>
      </c>
      <c r="M123" s="15"/>
      <c r="N123" s="32">
        <f>IF(H123=0,0,L123/H123)</f>
        <v>0.31460898041971347</v>
      </c>
      <c r="O123" s="25"/>
      <c r="P123" s="35">
        <f>SUM(P120:P122)</f>
        <v>-138499.79999999976</v>
      </c>
      <c r="Q123" s="13"/>
      <c r="R123" s="32">
        <f>IF(P$12=0,0,P123/P$12)</f>
        <v>-3.5281263979982158E-2</v>
      </c>
      <c r="S123" s="13"/>
      <c r="T123" s="35">
        <f>SUM(T120:T122)</f>
        <v>-824875.90051651234</v>
      </c>
      <c r="U123" s="13"/>
      <c r="V123" s="32">
        <f>IF(T$12=0,0,T123/T$12)</f>
        <v>-0.26155664536794743</v>
      </c>
      <c r="W123" s="15"/>
      <c r="X123" s="35">
        <f>+P123-T123</f>
        <v>686376.10051651252</v>
      </c>
      <c r="Y123" s="15"/>
      <c r="Z123" s="32">
        <f>IF(T123=0,0,X123/T123)</f>
        <v>-0.83209619784833644</v>
      </c>
    </row>
    <row r="124" spans="1:26" ht="15.75" thickTop="1" x14ac:dyDescent="0.25">
      <c r="A124" s="9"/>
      <c r="C124" s="9"/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  <row r="125" spans="1:26" x14ac:dyDescent="0.25">
      <c r="A125" s="9"/>
      <c r="B125" s="59">
        <v>44517.96286605324</v>
      </c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A126" s="9"/>
      <c r="B126" s="62" t="s">
        <v>56</v>
      </c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  <row r="127" spans="1:26" x14ac:dyDescent="0.25">
      <c r="A127" s="9"/>
      <c r="B127" s="57"/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  <row r="128" spans="1:26" x14ac:dyDescent="0.25">
      <c r="D128" s="18"/>
      <c r="E128" s="18"/>
      <c r="G128" s="18"/>
      <c r="H128" s="18"/>
      <c r="I128" s="18"/>
      <c r="J128" s="42"/>
      <c r="K128" s="18"/>
      <c r="L128" s="18"/>
      <c r="M128" s="18"/>
      <c r="P128" s="18"/>
      <c r="Q128" s="18"/>
      <c r="R128" s="42"/>
      <c r="S128" s="18"/>
      <c r="T128" s="18"/>
      <c r="U128" s="18"/>
      <c r="V128" s="42"/>
      <c r="W128" s="18"/>
      <c r="X128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</sheetPr>
  <dimension ref="A2:Z12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55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206370.10000000003</v>
      </c>
      <c r="E12" s="4"/>
      <c r="F12" s="12"/>
      <c r="G12" s="4"/>
      <c r="H12" s="4">
        <f>SUM(OSRRefH13x_0)</f>
        <v>209782</v>
      </c>
      <c r="I12" s="4"/>
      <c r="J12" s="12"/>
      <c r="K12" s="4"/>
      <c r="L12" s="4">
        <f t="shared" ref="L12:L18" si="0">+D12-H12</f>
        <v>-3411.8999999999651</v>
      </c>
      <c r="M12" s="4"/>
      <c r="N12" s="12">
        <f t="shared" ref="N12:N18" si="1">IF(H12=0,0,L12/H12)</f>
        <v>-1.6264026465568852E-2</v>
      </c>
      <c r="O12" s="10"/>
      <c r="P12" s="4">
        <f>SUM(OSRRefP13x_0)</f>
        <v>431294.62</v>
      </c>
      <c r="Q12" s="4"/>
      <c r="R12" s="12"/>
      <c r="S12" s="4"/>
      <c r="T12" s="4">
        <f>SUM(OSRRefT13x_0)</f>
        <v>437087</v>
      </c>
      <c r="U12" s="4"/>
      <c r="V12" s="12"/>
      <c r="W12" s="4"/>
      <c r="X12" s="4">
        <f t="shared" ref="X12:X18" si="2">+P12-T12</f>
        <v>-5792.3800000000047</v>
      </c>
      <c r="Y12" s="4"/>
      <c r="Z12" s="12">
        <f t="shared" ref="Z12:Z18" si="3">IF(T12=0,0,X12/T12)</f>
        <v>-1.3252235824904434E-2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--4222.65</f>
        <v>4222.6499999999996</v>
      </c>
      <c r="E13" s="2"/>
      <c r="F13" s="19"/>
      <c r="G13" s="2"/>
      <c r="H13" s="2">
        <v>57948</v>
      </c>
      <c r="I13" s="2"/>
      <c r="J13" s="19"/>
      <c r="K13" s="2"/>
      <c r="L13" s="2">
        <f t="shared" si="0"/>
        <v>-53725.35</v>
      </c>
      <c r="M13" s="2"/>
      <c r="N13" s="19">
        <f t="shared" si="1"/>
        <v>-0.92713035825222612</v>
      </c>
      <c r="O13" s="11"/>
      <c r="P13" s="2">
        <f>--8316.5</f>
        <v>8316.5</v>
      </c>
      <c r="Q13" s="2"/>
      <c r="R13" s="19"/>
      <c r="S13" s="2"/>
      <c r="T13" s="2">
        <v>122216</v>
      </c>
      <c r="U13" s="2"/>
      <c r="V13" s="19"/>
      <c r="W13" s="2"/>
      <c r="X13" s="2">
        <f t="shared" si="2"/>
        <v>-113899.5</v>
      </c>
      <c r="Y13" s="2"/>
      <c r="Z13" s="19">
        <f t="shared" si="3"/>
        <v>-0.93195244485173789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--39274.26</f>
        <v>39274.26</v>
      </c>
      <c r="E14" s="2"/>
      <c r="F14" s="19"/>
      <c r="G14" s="2"/>
      <c r="H14" s="2"/>
      <c r="I14" s="2"/>
      <c r="J14" s="19"/>
      <c r="K14" s="2"/>
      <c r="L14" s="2">
        <f t="shared" si="0"/>
        <v>39274.26</v>
      </c>
      <c r="M14" s="2"/>
      <c r="N14" s="19">
        <f t="shared" si="1"/>
        <v>0</v>
      </c>
      <c r="O14" s="11"/>
      <c r="P14" s="2">
        <f>--104250.57</f>
        <v>104250.57</v>
      </c>
      <c r="Q14" s="2"/>
      <c r="R14" s="19"/>
      <c r="S14" s="2"/>
      <c r="T14" s="2"/>
      <c r="U14" s="2"/>
      <c r="V14" s="19"/>
      <c r="W14" s="2"/>
      <c r="X14" s="2">
        <f t="shared" si="2"/>
        <v>104250.57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--4669.37</f>
        <v>4669.37</v>
      </c>
      <c r="E15" s="2"/>
      <c r="F15" s="19"/>
      <c r="G15" s="2"/>
      <c r="H15" s="2"/>
      <c r="I15" s="2"/>
      <c r="J15" s="19"/>
      <c r="K15" s="2"/>
      <c r="L15" s="2">
        <f t="shared" si="0"/>
        <v>4669.37</v>
      </c>
      <c r="M15" s="2"/>
      <c r="N15" s="19">
        <f t="shared" si="1"/>
        <v>0</v>
      </c>
      <c r="O15" s="11"/>
      <c r="P15" s="2">
        <f>--4808.46</f>
        <v>4808.46</v>
      </c>
      <c r="Q15" s="2"/>
      <c r="R15" s="19"/>
      <c r="S15" s="2"/>
      <c r="T15" s="2"/>
      <c r="U15" s="2"/>
      <c r="V15" s="19"/>
      <c r="W15" s="2"/>
      <c r="X15" s="2">
        <f t="shared" si="2"/>
        <v>4808.46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--21202.87</f>
        <v>21202.87</v>
      </c>
      <c r="E16" s="2"/>
      <c r="F16" s="19"/>
      <c r="G16" s="2"/>
      <c r="H16" s="2">
        <v>151834</v>
      </c>
      <c r="I16" s="2"/>
      <c r="J16" s="19"/>
      <c r="K16" s="2"/>
      <c r="L16" s="2">
        <f t="shared" si="0"/>
        <v>-130631.13</v>
      </c>
      <c r="M16" s="2"/>
      <c r="N16" s="19">
        <f t="shared" si="1"/>
        <v>-0.8603549270914288</v>
      </c>
      <c r="O16" s="11"/>
      <c r="P16" s="2">
        <f>--39747.97</f>
        <v>39747.97</v>
      </c>
      <c r="Q16" s="2"/>
      <c r="R16" s="19"/>
      <c r="S16" s="2"/>
      <c r="T16" s="2">
        <v>314871</v>
      </c>
      <c r="U16" s="2"/>
      <c r="V16" s="19"/>
      <c r="W16" s="2"/>
      <c r="X16" s="2">
        <f t="shared" si="2"/>
        <v>-275123.03000000003</v>
      </c>
      <c r="Y16" s="2"/>
      <c r="Z16" s="19">
        <f t="shared" si="3"/>
        <v>-0.87376427171762416</v>
      </c>
    </row>
    <row r="17" spans="1:26" s="24" customFormat="1" hidden="1" outlineLevel="1" x14ac:dyDescent="0.25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--137000.95</f>
        <v>137000.95000000001</v>
      </c>
      <c r="E17" s="2"/>
      <c r="F17" s="19"/>
      <c r="G17" s="2"/>
      <c r="H17" s="2"/>
      <c r="I17" s="2"/>
      <c r="J17" s="19"/>
      <c r="K17" s="2"/>
      <c r="L17" s="2">
        <f t="shared" si="0"/>
        <v>137000.95000000001</v>
      </c>
      <c r="M17" s="2"/>
      <c r="N17" s="19">
        <f t="shared" si="1"/>
        <v>0</v>
      </c>
      <c r="O17" s="11"/>
      <c r="P17" s="2">
        <f>--274171.12</f>
        <v>274171.12</v>
      </c>
      <c r="Q17" s="2"/>
      <c r="R17" s="19"/>
      <c r="S17" s="2"/>
      <c r="T17" s="2"/>
      <c r="U17" s="2"/>
      <c r="V17" s="19"/>
      <c r="W17" s="2"/>
      <c r="X17" s="2">
        <f t="shared" si="2"/>
        <v>274171.12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5" t="s">
        <v>257</v>
      </c>
      <c r="C20" s="10"/>
      <c r="D20" s="4">
        <f>SUM(OSRRefD16x_0)</f>
        <v>89920.17</v>
      </c>
      <c r="E20" s="4"/>
      <c r="F20" s="12">
        <f t="shared" ref="F20:F23" si="4">IF(D$12=0,0,D20/D$12)</f>
        <v>0.43572285907696889</v>
      </c>
      <c r="G20" s="4"/>
      <c r="H20" s="4">
        <f>SUM(OSRRefH16x_0)</f>
        <v>77445</v>
      </c>
      <c r="I20" s="4"/>
      <c r="J20" s="12">
        <f t="shared" ref="J20:J23" si="5">IF(H$12=0,0,H20/H$12)</f>
        <v>0.3691689468114519</v>
      </c>
      <c r="K20" s="4"/>
      <c r="L20" s="4">
        <f t="shared" ref="L20:L23" si="6">+D20-H20</f>
        <v>12475.169999999998</v>
      </c>
      <c r="M20" s="4"/>
      <c r="N20" s="12">
        <f t="shared" ref="N20:N23" si="7">IF(H20=0,0,L20/H20)</f>
        <v>0.16108425334108076</v>
      </c>
      <c r="O20" s="10"/>
      <c r="P20" s="4">
        <f>SUM(OSRRefP16x_0)</f>
        <v>171487.91</v>
      </c>
      <c r="Q20" s="4"/>
      <c r="R20" s="12">
        <f t="shared" ref="R20:R23" si="8">IF(P$12=0,0,P20/P$12)</f>
        <v>0.39761198505096124</v>
      </c>
      <c r="S20" s="4"/>
      <c r="T20" s="4">
        <f>SUM(OSRRefT16x_0)</f>
        <v>166357</v>
      </c>
      <c r="U20" s="4"/>
      <c r="V20" s="12">
        <f t="shared" ref="V20:V23" si="9">IF(T$12=0,0,T20/T$12)</f>
        <v>0.38060386147380271</v>
      </c>
      <c r="W20" s="4"/>
      <c r="X20" s="4">
        <f t="shared" ref="X20:X23" si="10">+P20-T20</f>
        <v>5130.9100000000035</v>
      </c>
      <c r="Y20" s="4"/>
      <c r="Z20" s="12">
        <f t="shared" ref="Z20:Z23" si="11">IF(T20=0,0,X20/T20)</f>
        <v>3.0842765858965979E-2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77445</v>
      </c>
      <c r="I21" s="2"/>
      <c r="J21" s="19">
        <f t="shared" si="5"/>
        <v>0.3691689468114519</v>
      </c>
      <c r="K21" s="2"/>
      <c r="L21" s="2">
        <f t="shared" si="6"/>
        <v>-77445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166357</v>
      </c>
      <c r="U21" s="2"/>
      <c r="V21" s="19">
        <f t="shared" si="9"/>
        <v>0.38060386147380271</v>
      </c>
      <c r="W21" s="2"/>
      <c r="X21" s="2">
        <f t="shared" si="10"/>
        <v>-166357</v>
      </c>
      <c r="Y21" s="2"/>
      <c r="Z21" s="19">
        <f t="shared" si="11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82589.19</v>
      </c>
      <c r="E22" s="2"/>
      <c r="F22" s="19">
        <f t="shared" si="4"/>
        <v>0.40019939904084939</v>
      </c>
      <c r="G22" s="2"/>
      <c r="H22" s="2"/>
      <c r="I22" s="2"/>
      <c r="J22" s="19">
        <f t="shared" si="5"/>
        <v>0</v>
      </c>
      <c r="K22" s="2"/>
      <c r="L22" s="2">
        <f t="shared" si="6"/>
        <v>82589.19</v>
      </c>
      <c r="M22" s="2"/>
      <c r="N22" s="19">
        <f t="shared" si="7"/>
        <v>0</v>
      </c>
      <c r="O22" s="11"/>
      <c r="P22" s="2">
        <v>190443.93</v>
      </c>
      <c r="Q22" s="2"/>
      <c r="R22" s="19">
        <f t="shared" si="8"/>
        <v>0.4415634259476735</v>
      </c>
      <c r="S22" s="2"/>
      <c r="T22" s="2"/>
      <c r="U22" s="2"/>
      <c r="V22" s="19">
        <f t="shared" si="9"/>
        <v>0</v>
      </c>
      <c r="W22" s="2"/>
      <c r="X22" s="2">
        <f t="shared" si="10"/>
        <v>190443.93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7330.98</v>
      </c>
      <c r="E23" s="2"/>
      <c r="F23" s="19">
        <f t="shared" si="4"/>
        <v>3.5523460036119565E-2</v>
      </c>
      <c r="G23" s="2"/>
      <c r="H23" s="2"/>
      <c r="I23" s="2"/>
      <c r="J23" s="19">
        <f t="shared" si="5"/>
        <v>0</v>
      </c>
      <c r="K23" s="2"/>
      <c r="L23" s="2">
        <f t="shared" si="6"/>
        <v>7330.98</v>
      </c>
      <c r="M23" s="2"/>
      <c r="N23" s="19">
        <f t="shared" si="7"/>
        <v>0</v>
      </c>
      <c r="O23" s="11"/>
      <c r="P23" s="2">
        <v>-18956.02</v>
      </c>
      <c r="Q23" s="2"/>
      <c r="R23" s="19">
        <f t="shared" si="8"/>
        <v>-4.3951440896712324E-2</v>
      </c>
      <c r="S23" s="2"/>
      <c r="T23" s="2"/>
      <c r="U23" s="2"/>
      <c r="V23" s="19">
        <f t="shared" si="9"/>
        <v>0</v>
      </c>
      <c r="W23" s="2"/>
      <c r="X23" s="2">
        <f t="shared" si="10"/>
        <v>-18956.02</v>
      </c>
      <c r="Y23" s="2"/>
      <c r="Z23" s="19">
        <f t="shared" si="11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6" t="s">
        <v>108</v>
      </c>
      <c r="C25" s="26"/>
      <c r="D25" s="21">
        <f>D12-D20</f>
        <v>116449.93000000004</v>
      </c>
      <c r="E25" s="13"/>
      <c r="F25" s="20">
        <f>IF(D$12=0,0,D25/D$12)</f>
        <v>0.56427714092303105</v>
      </c>
      <c r="G25" s="13"/>
      <c r="H25" s="21">
        <f>H12-H20</f>
        <v>132337</v>
      </c>
      <c r="I25" s="13"/>
      <c r="J25" s="20">
        <f>IF(H$12=0,0,H25/H$12)</f>
        <v>0.63083105318854815</v>
      </c>
      <c r="K25" s="15"/>
      <c r="L25" s="21">
        <f>+D25-H25</f>
        <v>-15887.069999999963</v>
      </c>
      <c r="M25" s="15"/>
      <c r="N25" s="20">
        <f>IF(H25=0,0,L25/H25)</f>
        <v>-0.12005009936752355</v>
      </c>
      <c r="O25" s="25"/>
      <c r="P25" s="21">
        <f>P12-P20</f>
        <v>259806.71</v>
      </c>
      <c r="Q25" s="13"/>
      <c r="R25" s="20">
        <f>IF(P$12=0,0,P25/P$12)</f>
        <v>0.60238801494903882</v>
      </c>
      <c r="S25" s="13"/>
      <c r="T25" s="21">
        <f>T12-T20</f>
        <v>270730</v>
      </c>
      <c r="U25" s="13"/>
      <c r="V25" s="20">
        <f>IF(T$12=0,0,T25/T$12)</f>
        <v>0.61939613852619735</v>
      </c>
      <c r="W25" s="15"/>
      <c r="X25" s="21">
        <f>+P25-T25</f>
        <v>-10923.290000000008</v>
      </c>
      <c r="Y25" s="15"/>
      <c r="Z25" s="20">
        <f>IF(T25=0,0,X25/T25)</f>
        <v>-4.034754183134491E-2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5" t="s">
        <v>295</v>
      </c>
      <c r="C27" s="10"/>
      <c r="D27" s="22">
        <f>SUM(OSRRefD22x_0)</f>
        <v>229933.69999999998</v>
      </c>
      <c r="E27" s="22"/>
      <c r="F27" s="34">
        <f t="shared" ref="F27:F37" si="12">IF(D$12=0,0,D27/D$12)</f>
        <v>1.1141812694765372</v>
      </c>
      <c r="G27" s="22"/>
      <c r="H27" s="22">
        <f>SUM(OSRRefH22x_0)</f>
        <v>246031.2184337634</v>
      </c>
      <c r="I27" s="22"/>
      <c r="J27" s="34">
        <f t="shared" ref="J27:J37" si="13">IF(H$12=0,0,H27/H$12)</f>
        <v>1.1727947032336588</v>
      </c>
      <c r="K27" s="4"/>
      <c r="L27" s="22">
        <f t="shared" ref="L27:L37" si="14">+D27-H27</f>
        <v>-16097.518433763413</v>
      </c>
      <c r="M27" s="4"/>
      <c r="N27" s="34">
        <f t="shared" ref="N27:N37" si="15">IF(H27=0,0,L27/H27)</f>
        <v>-6.5428763618862421E-2</v>
      </c>
      <c r="O27" s="10"/>
      <c r="P27" s="22">
        <f>SUM(OSRRefP22x_0)</f>
        <v>809510.75000000012</v>
      </c>
      <c r="Q27" s="22"/>
      <c r="R27" s="34">
        <f t="shared" ref="R27:R37" si="16">IF(P$12=0,0,P27/P$12)</f>
        <v>1.8769321768956917</v>
      </c>
      <c r="S27" s="22"/>
      <c r="T27" s="22">
        <f>SUM(OSRRefT22x_0)</f>
        <v>849846.01855909883</v>
      </c>
      <c r="U27" s="22"/>
      <c r="V27" s="34">
        <f t="shared" ref="V27:V37" si="17">IF(T$12=0,0,T27/T$12)</f>
        <v>1.9443406428447856</v>
      </c>
      <c r="W27" s="4"/>
      <c r="X27" s="22">
        <f t="shared" ref="X27:X37" si="18">+P27-T27</f>
        <v>-40335.268559098709</v>
      </c>
      <c r="Y27" s="4"/>
      <c r="Z27" s="34">
        <f t="shared" ref="Z27:Z37" si="19">IF(T27=0,0,X27/T27)</f>
        <v>-4.7461855063446141E-2</v>
      </c>
    </row>
    <row r="28" spans="1:26" s="28" customFormat="1" outlineLevel="1" collapsed="1" x14ac:dyDescent="0.25">
      <c r="A28" s="29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36468.590000000004</v>
      </c>
      <c r="E28" s="1"/>
      <c r="F28" s="5">
        <f t="shared" si="12"/>
        <v>0.17671450466903876</v>
      </c>
      <c r="G28" s="1"/>
      <c r="H28" s="1">
        <f>SUM(OSRRefH22_0x_0)</f>
        <v>38162.2535203019</v>
      </c>
      <c r="I28" s="1"/>
      <c r="J28" s="5">
        <f t="shared" si="13"/>
        <v>0.18191386067585349</v>
      </c>
      <c r="K28" s="1"/>
      <c r="L28" s="1">
        <f t="shared" si="14"/>
        <v>-1693.6635203018959</v>
      </c>
      <c r="M28" s="1"/>
      <c r="N28" s="5">
        <f t="shared" si="15"/>
        <v>-4.4380595066297268E-2</v>
      </c>
      <c r="O28" s="14"/>
      <c r="P28" s="1">
        <f>SUM(OSRRefP22_0x_0)</f>
        <v>118821.39000000001</v>
      </c>
      <c r="Q28" s="1"/>
      <c r="R28" s="5">
        <f t="shared" si="16"/>
        <v>0.2754993558695446</v>
      </c>
      <c r="S28" s="1"/>
      <c r="T28" s="1">
        <f>SUM(OSRRefT22_0x_0)</f>
        <v>133624.90303063742</v>
      </c>
      <c r="U28" s="1"/>
      <c r="V28" s="5">
        <f t="shared" si="17"/>
        <v>0.30571694658188742</v>
      </c>
      <c r="W28" s="1"/>
      <c r="X28" s="1">
        <f t="shared" si="18"/>
        <v>-14803.513030637405</v>
      </c>
      <c r="Y28" s="1"/>
      <c r="Z28" s="5">
        <f t="shared" si="19"/>
        <v>-0.1107840881070145</v>
      </c>
    </row>
    <row r="29" spans="1:26" s="24" customFormat="1" hidden="1" outlineLevel="2" x14ac:dyDescent="0.25">
      <c r="A29" s="27"/>
      <c r="B29" s="11" t="str">
        <f>CONCATENATE("          ", "6111", " - ", "F.I.C.A.")</f>
        <v xml:space="preserve">          6111 - F.I.C.A.</v>
      </c>
      <c r="C29" s="11"/>
      <c r="D29" s="7">
        <v>6380.12</v>
      </c>
      <c r="E29" s="2"/>
      <c r="F29" s="6">
        <f t="shared" si="12"/>
        <v>3.0915912721852627E-2</v>
      </c>
      <c r="G29" s="2"/>
      <c r="H29" s="7">
        <v>5118.4525126096196</v>
      </c>
      <c r="I29" s="2"/>
      <c r="J29" s="6">
        <f t="shared" si="13"/>
        <v>2.4398911787520471E-2</v>
      </c>
      <c r="K29" s="2"/>
      <c r="L29" s="7">
        <f t="shared" si="14"/>
        <v>1261.6674873903803</v>
      </c>
      <c r="M29" s="2"/>
      <c r="N29" s="6">
        <f t="shared" si="15"/>
        <v>0.24649393235205086</v>
      </c>
      <c r="O29" s="11"/>
      <c r="P29" s="7">
        <v>18471.34</v>
      </c>
      <c r="Q29" s="2"/>
      <c r="R29" s="6">
        <f t="shared" si="16"/>
        <v>4.282766151824477E-2</v>
      </c>
      <c r="S29" s="2"/>
      <c r="T29" s="7">
        <v>17773.847189560602</v>
      </c>
      <c r="U29" s="2"/>
      <c r="V29" s="6">
        <f t="shared" si="17"/>
        <v>4.0664323554717031E-2</v>
      </c>
      <c r="W29" s="2"/>
      <c r="X29" s="7">
        <f t="shared" si="18"/>
        <v>697.49281043939845</v>
      </c>
      <c r="Y29" s="2"/>
      <c r="Z29" s="6">
        <f t="shared" si="19"/>
        <v>3.9242646963290426E-2</v>
      </c>
    </row>
    <row r="30" spans="1:26" s="24" customFormat="1" hidden="1" outlineLevel="2" x14ac:dyDescent="0.25">
      <c r="A30" s="27"/>
      <c r="B30" s="11" t="str">
        <f>CONCATENATE("          ", "6112", " - ", "COMPENSATION INSURANCE")</f>
        <v xml:space="preserve">          6112 - COMPENSATION INSURANCE</v>
      </c>
      <c r="C30" s="11"/>
      <c r="D30" s="7">
        <v>3215.5</v>
      </c>
      <c r="E30" s="2"/>
      <c r="F30" s="6">
        <f t="shared" si="12"/>
        <v>1.5581230032839058E-2</v>
      </c>
      <c r="G30" s="2"/>
      <c r="H30" s="7">
        <v>4259.2834048269197</v>
      </c>
      <c r="I30" s="2"/>
      <c r="J30" s="6">
        <f t="shared" si="13"/>
        <v>2.0303378768564126E-2</v>
      </c>
      <c r="K30" s="2"/>
      <c r="L30" s="7">
        <f t="shared" si="14"/>
        <v>-1043.7834048269197</v>
      </c>
      <c r="M30" s="2"/>
      <c r="N30" s="6">
        <f t="shared" si="15"/>
        <v>-0.24506080145876907</v>
      </c>
      <c r="O30" s="11"/>
      <c r="P30" s="7">
        <v>8197.61</v>
      </c>
      <c r="Q30" s="2"/>
      <c r="R30" s="6">
        <f t="shared" si="16"/>
        <v>1.9006984135345812E-2</v>
      </c>
      <c r="S30" s="2"/>
      <c r="T30" s="7">
        <v>12606.9534647569</v>
      </c>
      <c r="U30" s="2"/>
      <c r="V30" s="6">
        <f t="shared" si="17"/>
        <v>2.8843121540464256E-2</v>
      </c>
      <c r="W30" s="2"/>
      <c r="X30" s="7">
        <f t="shared" si="18"/>
        <v>-4409.3434647568993</v>
      </c>
      <c r="Y30" s="2"/>
      <c r="Z30" s="6">
        <f t="shared" si="19"/>
        <v>-0.34975487750338297</v>
      </c>
    </row>
    <row r="31" spans="1:26" s="24" customFormat="1" hidden="1" outlineLevel="2" x14ac:dyDescent="0.25">
      <c r="A31" s="27"/>
      <c r="B31" s="11" t="str">
        <f>CONCATENATE("          ", "6113", " - ", "GROUP INSURANCE")</f>
        <v xml:space="preserve">          6113 - GROUP INSURANCE</v>
      </c>
      <c r="C31" s="11"/>
      <c r="D31" s="7">
        <v>12571.1</v>
      </c>
      <c r="E31" s="2"/>
      <c r="F31" s="6">
        <f t="shared" si="12"/>
        <v>6.091531670527852E-2</v>
      </c>
      <c r="G31" s="2"/>
      <c r="H31" s="7">
        <v>17133.0769230769</v>
      </c>
      <c r="I31" s="2"/>
      <c r="J31" s="6">
        <f t="shared" si="13"/>
        <v>8.1670862719760984E-2</v>
      </c>
      <c r="K31" s="2"/>
      <c r="L31" s="7">
        <f t="shared" si="14"/>
        <v>-4561.9769230768998</v>
      </c>
      <c r="M31" s="2"/>
      <c r="N31" s="6">
        <f t="shared" si="15"/>
        <v>-0.26626722938086372</v>
      </c>
      <c r="O31" s="11"/>
      <c r="P31" s="7">
        <v>49720.88</v>
      </c>
      <c r="Q31" s="2"/>
      <c r="R31" s="6">
        <f t="shared" si="16"/>
        <v>0.11528286626900192</v>
      </c>
      <c r="S31" s="2"/>
      <c r="T31" s="7">
        <v>63803.6615384615</v>
      </c>
      <c r="U31" s="2"/>
      <c r="V31" s="6">
        <f t="shared" si="17"/>
        <v>0.14597474081466963</v>
      </c>
      <c r="W31" s="2"/>
      <c r="X31" s="7">
        <f t="shared" si="18"/>
        <v>-14082.781538461502</v>
      </c>
      <c r="Y31" s="2"/>
      <c r="Z31" s="6">
        <f t="shared" si="19"/>
        <v>-0.22072058560420169</v>
      </c>
    </row>
    <row r="32" spans="1:26" s="24" customFormat="1" hidden="1" outlineLevel="2" x14ac:dyDescent="0.25">
      <c r="A32" s="27"/>
      <c r="B32" s="11" t="str">
        <f>CONCATENATE("          ", "6114", " - ", "STATE UNEMPLOYMENT INSURANCE")</f>
        <v xml:space="preserve">          6114 - STATE UNEMPLOYMENT INSURANCE</v>
      </c>
      <c r="C32" s="11"/>
      <c r="D32" s="7">
        <v>288.29000000000002</v>
      </c>
      <c r="E32" s="2"/>
      <c r="F32" s="6">
        <f t="shared" si="12"/>
        <v>1.3969562451149656E-3</v>
      </c>
      <c r="G32" s="2"/>
      <c r="H32" s="7">
        <v>236.00251055769201</v>
      </c>
      <c r="I32" s="2"/>
      <c r="J32" s="6">
        <f t="shared" si="13"/>
        <v>1.1249893249072466E-3</v>
      </c>
      <c r="K32" s="2"/>
      <c r="L32" s="7">
        <f t="shared" si="14"/>
        <v>52.287489442308015</v>
      </c>
      <c r="M32" s="2"/>
      <c r="N32" s="6">
        <f t="shared" si="15"/>
        <v>0.22155480176354342</v>
      </c>
      <c r="O32" s="11"/>
      <c r="P32" s="7">
        <v>746.46</v>
      </c>
      <c r="Q32" s="2"/>
      <c r="R32" s="6">
        <f t="shared" si="16"/>
        <v>1.7307426649560342E-3</v>
      </c>
      <c r="S32" s="2"/>
      <c r="T32" s="7">
        <v>698.538318627693</v>
      </c>
      <c r="U32" s="2"/>
      <c r="V32" s="6">
        <f t="shared" si="17"/>
        <v>1.5981676843001347E-3</v>
      </c>
      <c r="W32" s="2"/>
      <c r="X32" s="7">
        <f t="shared" si="18"/>
        <v>47.921681372307035</v>
      </c>
      <c r="Y32" s="2"/>
      <c r="Z32" s="6">
        <f t="shared" si="19"/>
        <v>6.8602795429248797E-2</v>
      </c>
    </row>
    <row r="33" spans="1:26" s="24" customFormat="1" hidden="1" outlineLevel="2" x14ac:dyDescent="0.25">
      <c r="A33" s="27"/>
      <c r="B33" s="11" t="str">
        <f>CONCATENATE("          ", "6115", " - ", "P.E.R.S.")</f>
        <v xml:space="preserve">          6115 - P.E.R.S.</v>
      </c>
      <c r="C33" s="11"/>
      <c r="D33" s="7">
        <v>4728.7700000000004</v>
      </c>
      <c r="E33" s="2"/>
      <c r="F33" s="6">
        <f t="shared" si="12"/>
        <v>2.2914026789733588E-2</v>
      </c>
      <c r="G33" s="2"/>
      <c r="H33" s="7">
        <v>3433.42769807693</v>
      </c>
      <c r="I33" s="2"/>
      <c r="J33" s="6">
        <f t="shared" si="13"/>
        <v>1.6366645842240658E-2</v>
      </c>
      <c r="K33" s="2"/>
      <c r="L33" s="7">
        <f t="shared" si="14"/>
        <v>1295.3423019230704</v>
      </c>
      <c r="M33" s="2"/>
      <c r="N33" s="6">
        <f t="shared" si="15"/>
        <v>0.37727379628485969</v>
      </c>
      <c r="O33" s="11"/>
      <c r="P33" s="7">
        <v>14022.82</v>
      </c>
      <c r="Q33" s="2"/>
      <c r="R33" s="6">
        <f t="shared" si="16"/>
        <v>3.2513320013126991E-2</v>
      </c>
      <c r="S33" s="2"/>
      <c r="T33" s="7">
        <v>12360.339713076901</v>
      </c>
      <c r="U33" s="2"/>
      <c r="V33" s="6">
        <f t="shared" si="17"/>
        <v>2.8278900340382808E-2</v>
      </c>
      <c r="W33" s="2"/>
      <c r="X33" s="7">
        <f t="shared" si="18"/>
        <v>1662.4802869230989</v>
      </c>
      <c r="Y33" s="2"/>
      <c r="Z33" s="6">
        <f t="shared" si="19"/>
        <v>0.13450118083439408</v>
      </c>
    </row>
    <row r="34" spans="1:26" s="24" customFormat="1" hidden="1" outlineLevel="2" x14ac:dyDescent="0.25">
      <c r="A34" s="27"/>
      <c r="B34" s="11" t="str">
        <f>CONCATENATE("          ", "6116", " - ", "EDUCATIONAL BENEFITS")</f>
        <v xml:space="preserve">          6116 - EDUCATIONAL BENEFITS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7"/>
      <c r="B35" s="11" t="str">
        <f>CONCATENATE("          ", "6118", " - ", "VACATION")</f>
        <v xml:space="preserve">          6118 - VACATION</v>
      </c>
      <c r="C35" s="11"/>
      <c r="D35" s="7">
        <v>4487.97</v>
      </c>
      <c r="E35" s="2"/>
      <c r="F35" s="6">
        <f t="shared" si="12"/>
        <v>2.1747191090182152E-2</v>
      </c>
      <c r="G35" s="2"/>
      <c r="H35" s="7">
        <v>3156.80539807692</v>
      </c>
      <c r="I35" s="2"/>
      <c r="J35" s="6">
        <f t="shared" si="13"/>
        <v>1.5048027943660182E-2</v>
      </c>
      <c r="K35" s="2"/>
      <c r="L35" s="7">
        <f t="shared" si="14"/>
        <v>1331.1646019230802</v>
      </c>
      <c r="M35" s="2"/>
      <c r="N35" s="6">
        <f t="shared" si="15"/>
        <v>0.42168091917671147</v>
      </c>
      <c r="O35" s="11"/>
      <c r="P35" s="7">
        <v>13399.15</v>
      </c>
      <c r="Q35" s="2"/>
      <c r="R35" s="6">
        <f t="shared" si="16"/>
        <v>3.1067278325892404E-2</v>
      </c>
      <c r="S35" s="2"/>
      <c r="T35" s="7">
        <v>11293.0810490769</v>
      </c>
      <c r="U35" s="2"/>
      <c r="V35" s="6">
        <f t="shared" si="17"/>
        <v>2.5837146950325449E-2</v>
      </c>
      <c r="W35" s="2"/>
      <c r="X35" s="7">
        <f t="shared" si="18"/>
        <v>2106.0689509230997</v>
      </c>
      <c r="Y35" s="2"/>
      <c r="Z35" s="6">
        <f t="shared" si="19"/>
        <v>0.18649197165686246</v>
      </c>
    </row>
    <row r="36" spans="1:26" s="24" customFormat="1" hidden="1" outlineLevel="2" x14ac:dyDescent="0.25">
      <c r="A36" s="27"/>
      <c r="B36" s="11" t="str">
        <f>CONCATENATE("          ", "6119", " - ", "SICK LEAVE")</f>
        <v xml:space="preserve">          6119 - SICK LEAVE</v>
      </c>
      <c r="C36" s="11"/>
      <c r="D36" s="7">
        <v>2900.7</v>
      </c>
      <c r="E36" s="2"/>
      <c r="F36" s="6">
        <f t="shared" si="12"/>
        <v>1.4055815256182942E-2</v>
      </c>
      <c r="G36" s="2"/>
      <c r="H36" s="7">
        <v>2480.2050730769201</v>
      </c>
      <c r="I36" s="2"/>
      <c r="J36" s="6">
        <f t="shared" si="13"/>
        <v>1.1822773512870123E-2</v>
      </c>
      <c r="K36" s="2"/>
      <c r="L36" s="7">
        <f t="shared" si="14"/>
        <v>420.49492692307967</v>
      </c>
      <c r="M36" s="2"/>
      <c r="N36" s="6">
        <f t="shared" si="15"/>
        <v>0.16954038659449133</v>
      </c>
      <c r="O36" s="11"/>
      <c r="P36" s="7">
        <v>8633.9699999999993</v>
      </c>
      <c r="Q36" s="2"/>
      <c r="R36" s="6">
        <f t="shared" si="16"/>
        <v>2.0018728728867518E-2</v>
      </c>
      <c r="S36" s="2"/>
      <c r="T36" s="7">
        <v>7036.4817570769201</v>
      </c>
      <c r="U36" s="2"/>
      <c r="V36" s="6">
        <f t="shared" si="17"/>
        <v>1.6098583936554781E-2</v>
      </c>
      <c r="W36" s="2"/>
      <c r="X36" s="7">
        <f t="shared" si="18"/>
        <v>1597.4882429230793</v>
      </c>
      <c r="Y36" s="2"/>
      <c r="Z36" s="6">
        <f t="shared" si="19"/>
        <v>0.22702940163476021</v>
      </c>
    </row>
    <row r="37" spans="1:26" s="24" customFormat="1" hidden="1" outlineLevel="2" x14ac:dyDescent="0.25">
      <c r="A37" s="27"/>
      <c r="B37" s="11" t="str">
        <f>CONCATENATE("          ", "6156", " - ", "EMPLOYEE MEALS")</f>
        <v xml:space="preserve">          6156 - EMPLOYEE MEALS</v>
      </c>
      <c r="C37" s="11"/>
      <c r="D37" s="7">
        <v>1896.14</v>
      </c>
      <c r="E37" s="2"/>
      <c r="F37" s="6">
        <f t="shared" si="12"/>
        <v>9.1880558278549067E-3</v>
      </c>
      <c r="G37" s="2"/>
      <c r="H37" s="7">
        <v>2345</v>
      </c>
      <c r="I37" s="2"/>
      <c r="J37" s="6">
        <f t="shared" si="13"/>
        <v>1.1178270776329713E-2</v>
      </c>
      <c r="K37" s="2"/>
      <c r="L37" s="7">
        <f t="shared" si="14"/>
        <v>-448.8599999999999</v>
      </c>
      <c r="M37" s="2"/>
      <c r="N37" s="6">
        <f t="shared" si="15"/>
        <v>-0.19141151385927502</v>
      </c>
      <c r="O37" s="11"/>
      <c r="P37" s="7">
        <v>5629.16</v>
      </c>
      <c r="Q37" s="2"/>
      <c r="R37" s="6">
        <f t="shared" si="16"/>
        <v>1.3051774214109139E-2</v>
      </c>
      <c r="S37" s="2"/>
      <c r="T37" s="7">
        <v>8052</v>
      </c>
      <c r="U37" s="2"/>
      <c r="V37" s="6">
        <f t="shared" si="17"/>
        <v>1.8421961760473317E-2</v>
      </c>
      <c r="W37" s="2"/>
      <c r="X37" s="7">
        <f t="shared" si="18"/>
        <v>-2422.84</v>
      </c>
      <c r="Y37" s="2"/>
      <c r="Z37" s="6">
        <f t="shared" si="19"/>
        <v>-0.30089915548931945</v>
      </c>
    </row>
    <row r="38" spans="1:26" s="28" customFormat="1" outlineLevel="1" collapsed="1" x14ac:dyDescent="0.25">
      <c r="A38" s="29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86531.97</v>
      </c>
      <c r="E38" s="1"/>
      <c r="F38" s="5">
        <f t="shared" ref="F38:F48" si="20">IF(D$12=0,0,D38/D$12)</f>
        <v>0.41930478300877883</v>
      </c>
      <c r="G38" s="1"/>
      <c r="H38" s="1">
        <f>SUM(OSRRefH22_1x_0)</f>
        <v>106860.46491346152</v>
      </c>
      <c r="I38" s="1"/>
      <c r="J38" s="5">
        <f t="shared" ref="J38:J48" si="21">IF(H$12=0,0,H38/H$12)</f>
        <v>0.50938815014377548</v>
      </c>
      <c r="K38" s="1"/>
      <c r="L38" s="1">
        <f t="shared" ref="L38:L48" si="22">+D38-H38</f>
        <v>-20328.494913461516</v>
      </c>
      <c r="M38" s="1"/>
      <c r="N38" s="5">
        <f t="shared" ref="N38:N48" si="23">IF(H38=0,0,L38/H38)</f>
        <v>-0.19023401152076289</v>
      </c>
      <c r="O38" s="14"/>
      <c r="P38" s="1">
        <f>SUM(OSRRefP22_1x_0)</f>
        <v>274890.98000000004</v>
      </c>
      <c r="Q38" s="1"/>
      <c r="R38" s="5">
        <f t="shared" ref="R38:R48" si="24">IF(P$12=0,0,P38/P$12)</f>
        <v>0.6373624136558903</v>
      </c>
      <c r="S38" s="1"/>
      <c r="T38" s="1">
        <f>SUM(OSRRefT22_1x_0)</f>
        <v>314601.86552846147</v>
      </c>
      <c r="U38" s="1"/>
      <c r="V38" s="5">
        <f t="shared" ref="V38:V48" si="25">IF(T$12=0,0,T38/T$12)</f>
        <v>0.71976944070279247</v>
      </c>
      <c r="W38" s="1"/>
      <c r="X38" s="1">
        <f t="shared" ref="X38:X48" si="26">+P38-T38</f>
        <v>-39710.885528461426</v>
      </c>
      <c r="Y38" s="1"/>
      <c r="Z38" s="5">
        <f t="shared" ref="Z38:Z48" si="27">IF(T38=0,0,X38/T38)</f>
        <v>-0.12622584250018967</v>
      </c>
    </row>
    <row r="39" spans="1:26" s="24" customFormat="1" hidden="1" outlineLevel="2" x14ac:dyDescent="0.25">
      <c r="A39" s="27"/>
      <c r="B39" s="11" t="str">
        <f>CONCATENATE("          ", "6001", " - ", "ADMINISTRATIVE SALARIES")</f>
        <v xml:space="preserve">          6001 - ADMINISTRATIVE SALARIES</v>
      </c>
      <c r="C39" s="11"/>
      <c r="D39" s="7">
        <v>10516.14</v>
      </c>
      <c r="E39" s="2"/>
      <c r="F39" s="6">
        <f t="shared" si="20"/>
        <v>5.0957672647345707E-2</v>
      </c>
      <c r="G39" s="2"/>
      <c r="H39" s="7">
        <v>12835.384615384601</v>
      </c>
      <c r="I39" s="2"/>
      <c r="J39" s="6">
        <f t="shared" si="21"/>
        <v>6.1184394349298801E-2</v>
      </c>
      <c r="K39" s="2"/>
      <c r="L39" s="7">
        <f t="shared" si="22"/>
        <v>-2319.2446153846013</v>
      </c>
      <c r="M39" s="2"/>
      <c r="N39" s="6">
        <f t="shared" si="23"/>
        <v>-0.18069147788565176</v>
      </c>
      <c r="O39" s="11"/>
      <c r="P39" s="7">
        <v>43723.66</v>
      </c>
      <c r="Q39" s="2"/>
      <c r="R39" s="6">
        <f t="shared" si="24"/>
        <v>0.10137770788793982</v>
      </c>
      <c r="S39" s="2"/>
      <c r="T39" s="7">
        <v>46207.384615384603</v>
      </c>
      <c r="U39" s="2"/>
      <c r="V39" s="6">
        <f t="shared" si="25"/>
        <v>0.10571667566270468</v>
      </c>
      <c r="W39" s="2"/>
      <c r="X39" s="7">
        <f t="shared" si="26"/>
        <v>-2483.724615384599</v>
      </c>
      <c r="Y39" s="2"/>
      <c r="Z39" s="6">
        <f t="shared" si="27"/>
        <v>-5.3751681382928795E-2</v>
      </c>
    </row>
    <row r="40" spans="1:26" s="24" customFormat="1" hidden="1" outlineLevel="2" x14ac:dyDescent="0.25">
      <c r="A40" s="27"/>
      <c r="B40" s="11" t="str">
        <f>CONCATENATE("          ", "6002", " - ", "STAFF SALARIES")</f>
        <v xml:space="preserve">          6002 - STAFF SALARIES</v>
      </c>
      <c r="C40" s="11"/>
      <c r="D40" s="7">
        <v>25037.65</v>
      </c>
      <c r="E40" s="2"/>
      <c r="F40" s="6">
        <f t="shared" si="20"/>
        <v>0.12132401932256658</v>
      </c>
      <c r="G40" s="2"/>
      <c r="H40" s="7">
        <v>23693.591298076899</v>
      </c>
      <c r="I40" s="2"/>
      <c r="J40" s="6">
        <f t="shared" si="21"/>
        <v>0.11294387172434669</v>
      </c>
      <c r="K40" s="2"/>
      <c r="L40" s="7">
        <f t="shared" si="22"/>
        <v>1344.0587019231025</v>
      </c>
      <c r="M40" s="2"/>
      <c r="N40" s="6">
        <f t="shared" si="23"/>
        <v>5.6726677058542563E-2</v>
      </c>
      <c r="O40" s="11"/>
      <c r="P40" s="7">
        <v>89523</v>
      </c>
      <c r="Q40" s="2"/>
      <c r="R40" s="6">
        <f t="shared" si="24"/>
        <v>0.20756808883913275</v>
      </c>
      <c r="S40" s="2"/>
      <c r="T40" s="7">
        <v>85296.928673076894</v>
      </c>
      <c r="U40" s="2"/>
      <c r="V40" s="6">
        <f t="shared" si="25"/>
        <v>0.19514862870109817</v>
      </c>
      <c r="W40" s="2"/>
      <c r="X40" s="7">
        <f t="shared" si="26"/>
        <v>4226.0713269231055</v>
      </c>
      <c r="Y40" s="2"/>
      <c r="Z40" s="6">
        <f t="shared" si="27"/>
        <v>4.9545410282246446E-2</v>
      </c>
    </row>
    <row r="41" spans="1:26" s="24" customFormat="1" hidden="1" outlineLevel="2" x14ac:dyDescent="0.25">
      <c r="A41" s="27"/>
      <c r="B41" s="11" t="str">
        <f>CONCATENATE("          ", "6003", " - ", "STAFF HOURLY-9 MONTH")</f>
        <v xml:space="preserve">          6003 - STAFF HOURLY-9 MONTH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7"/>
      <c r="B42" s="11" t="str">
        <f>CONCATENATE("          ", "6004", " - ", "STAFF HOURLY")</f>
        <v xml:space="preserve">          6004 - STAFF HOURLY</v>
      </c>
      <c r="C42" s="11"/>
      <c r="D42" s="7">
        <v>11612.94</v>
      </c>
      <c r="E42" s="2"/>
      <c r="F42" s="6">
        <f t="shared" si="20"/>
        <v>5.6272396049621524E-2</v>
      </c>
      <c r="G42" s="2"/>
      <c r="H42" s="7">
        <v>24369.579000000002</v>
      </c>
      <c r="I42" s="2"/>
      <c r="J42" s="6">
        <f t="shared" si="21"/>
        <v>0.11616620587085642</v>
      </c>
      <c r="K42" s="2"/>
      <c r="L42" s="7">
        <f t="shared" si="22"/>
        <v>-12756.639000000001</v>
      </c>
      <c r="M42" s="2"/>
      <c r="N42" s="6">
        <f t="shared" si="23"/>
        <v>-0.52346571108183693</v>
      </c>
      <c r="O42" s="11"/>
      <c r="P42" s="7">
        <v>36350.97</v>
      </c>
      <c r="Q42" s="2"/>
      <c r="R42" s="6">
        <f t="shared" si="24"/>
        <v>8.4283383827046116E-2</v>
      </c>
      <c r="S42" s="2"/>
      <c r="T42" s="7">
        <v>75971.337239999993</v>
      </c>
      <c r="U42" s="2"/>
      <c r="V42" s="6">
        <f t="shared" si="25"/>
        <v>0.1738128501648413</v>
      </c>
      <c r="W42" s="2"/>
      <c r="X42" s="7">
        <f t="shared" si="26"/>
        <v>-39620.367239999992</v>
      </c>
      <c r="Y42" s="2"/>
      <c r="Z42" s="6">
        <f t="shared" si="27"/>
        <v>-0.52151730743972347</v>
      </c>
    </row>
    <row r="43" spans="1:26" s="24" customFormat="1" hidden="1" outlineLevel="2" x14ac:dyDescent="0.25">
      <c r="A43" s="27"/>
      <c r="B43" s="11" t="str">
        <f>CONCATENATE("          ", "6005", " - ", "TEMPORARY WAGES-HOURLY")</f>
        <v xml:space="preserve">          6005 - TEMPORARY WAGES-HOURLY</v>
      </c>
      <c r="C43" s="11"/>
      <c r="D43" s="7">
        <v>21712.23</v>
      </c>
      <c r="E43" s="2"/>
      <c r="F43" s="6">
        <f t="shared" si="20"/>
        <v>0.10521015399033094</v>
      </c>
      <c r="G43" s="2"/>
      <c r="H43" s="7">
        <v>15478.29</v>
      </c>
      <c r="I43" s="2"/>
      <c r="J43" s="6">
        <f t="shared" si="21"/>
        <v>7.3782736364416401E-2</v>
      </c>
      <c r="K43" s="2"/>
      <c r="L43" s="7">
        <f t="shared" si="22"/>
        <v>6233.9399999999987</v>
      </c>
      <c r="M43" s="2"/>
      <c r="N43" s="6">
        <f t="shared" si="23"/>
        <v>0.4027537925701094</v>
      </c>
      <c r="O43" s="11"/>
      <c r="P43" s="7">
        <v>51852.45</v>
      </c>
      <c r="Q43" s="2"/>
      <c r="R43" s="6">
        <f t="shared" si="24"/>
        <v>0.12022512592436232</v>
      </c>
      <c r="S43" s="2"/>
      <c r="T43" s="7">
        <v>38752.47</v>
      </c>
      <c r="U43" s="2"/>
      <c r="V43" s="6">
        <f t="shared" si="25"/>
        <v>8.8660770052643986E-2</v>
      </c>
      <c r="W43" s="2"/>
      <c r="X43" s="7">
        <f t="shared" si="26"/>
        <v>13099.979999999996</v>
      </c>
      <c r="Y43" s="2"/>
      <c r="Z43" s="6">
        <f t="shared" si="27"/>
        <v>0.33804245251980058</v>
      </c>
    </row>
    <row r="44" spans="1:26" s="24" customFormat="1" hidden="1" outlineLevel="2" x14ac:dyDescent="0.25">
      <c r="A44" s="27"/>
      <c r="B44" s="11" t="str">
        <f>CONCATENATE("          ", "6006", " - ", "TEMPORARY PART TIME")</f>
        <v xml:space="preserve">          6006 - TEMPORARY PART TIME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7"/>
      <c r="B45" s="11" t="str">
        <f>CONCATENATE("          ", "6007", " - ", "STUDENT HOURLY")</f>
        <v xml:space="preserve">          6007 - STUDENT HOURLY</v>
      </c>
      <c r="C45" s="11"/>
      <c r="D45" s="7">
        <v>17653.009999999998</v>
      </c>
      <c r="E45" s="2"/>
      <c r="F45" s="6">
        <f t="shared" si="20"/>
        <v>8.5540540998914061E-2</v>
      </c>
      <c r="G45" s="2"/>
      <c r="H45" s="7">
        <v>1653.85</v>
      </c>
      <c r="I45" s="2"/>
      <c r="J45" s="6">
        <f t="shared" si="21"/>
        <v>7.8836601805683994E-3</v>
      </c>
      <c r="K45" s="2"/>
      <c r="L45" s="7">
        <f t="shared" si="22"/>
        <v>15999.159999999998</v>
      </c>
      <c r="M45" s="2"/>
      <c r="N45" s="6">
        <f t="shared" si="23"/>
        <v>9.6738882002599986</v>
      </c>
      <c r="O45" s="11"/>
      <c r="P45" s="7">
        <v>53440.9</v>
      </c>
      <c r="Q45" s="2"/>
      <c r="R45" s="6">
        <f t="shared" si="24"/>
        <v>0.12390810717740927</v>
      </c>
      <c r="S45" s="2"/>
      <c r="T45" s="7">
        <v>9345.64</v>
      </c>
      <c r="U45" s="2"/>
      <c r="V45" s="6">
        <f t="shared" si="25"/>
        <v>2.1381647132035497E-2</v>
      </c>
      <c r="W45" s="2"/>
      <c r="X45" s="7">
        <f t="shared" si="26"/>
        <v>44095.26</v>
      </c>
      <c r="Y45" s="2"/>
      <c r="Z45" s="6">
        <f t="shared" si="27"/>
        <v>4.7182707658330525</v>
      </c>
    </row>
    <row r="46" spans="1:26" s="24" customFormat="1" hidden="1" outlineLevel="2" x14ac:dyDescent="0.25">
      <c r="A46" s="27"/>
      <c r="B46" s="11" t="str">
        <f>CONCATENATE("          ", "6008", " - ", "STUDENT HOURLY-FICA EXEMPT")</f>
        <v xml:space="preserve">          6008 - STUDENT HOURLY-FICA EXEMPT</v>
      </c>
      <c r="C46" s="11"/>
      <c r="D46" s="7"/>
      <c r="E46" s="2"/>
      <c r="F46" s="6">
        <f t="shared" si="20"/>
        <v>0</v>
      </c>
      <c r="G46" s="2"/>
      <c r="H46" s="7">
        <v>28829.77</v>
      </c>
      <c r="I46" s="2"/>
      <c r="J46" s="6">
        <f t="shared" si="21"/>
        <v>0.13742728165428875</v>
      </c>
      <c r="K46" s="2"/>
      <c r="L46" s="7">
        <f t="shared" si="22"/>
        <v>-28829.77</v>
      </c>
      <c r="M46" s="2"/>
      <c r="N46" s="6">
        <f t="shared" si="23"/>
        <v>-1</v>
      </c>
      <c r="O46" s="11"/>
      <c r="P46" s="7"/>
      <c r="Q46" s="2"/>
      <c r="R46" s="6">
        <f t="shared" si="24"/>
        <v>0</v>
      </c>
      <c r="S46" s="2"/>
      <c r="T46" s="7">
        <v>59028.105000000003</v>
      </c>
      <c r="U46" s="2"/>
      <c r="V46" s="6">
        <f t="shared" si="25"/>
        <v>0.13504886898946891</v>
      </c>
      <c r="W46" s="2"/>
      <c r="X46" s="7">
        <f t="shared" si="26"/>
        <v>-59028.105000000003</v>
      </c>
      <c r="Y46" s="2"/>
      <c r="Z46" s="6">
        <f t="shared" si="27"/>
        <v>-1</v>
      </c>
    </row>
    <row r="47" spans="1:26" s="24" customFormat="1" hidden="1" outlineLevel="2" x14ac:dyDescent="0.25">
      <c r="A47" s="27"/>
      <c r="B47" s="11" t="str">
        <f>CONCATENATE("          ", "6009", " - ", "TEMPORARY-SEASONAL")</f>
        <v xml:space="preserve">          6009 - TEMPORARY-SEASONAL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4" customFormat="1" hidden="1" outlineLevel="2" x14ac:dyDescent="0.25">
      <c r="A48" s="27"/>
      <c r="B48" s="11" t="str">
        <f>CONCATENATE("          ", "6010", " - ", "GRATUITY")</f>
        <v xml:space="preserve">          6010 - GRATUITY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8" customFormat="1" outlineLevel="1" collapsed="1" x14ac:dyDescent="0.25">
      <c r="A49" s="29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50.23</v>
      </c>
      <c r="E49" s="1"/>
      <c r="F49" s="5">
        <f t="shared" ref="F49:F57" si="28">IF(D$12=0,0,D49/D$12)</f>
        <v>2.4339766274281008E-4</v>
      </c>
      <c r="G49" s="1"/>
      <c r="H49" s="1">
        <f>SUM(OSRRefH22_2x_0)</f>
        <v>0</v>
      </c>
      <c r="I49" s="1"/>
      <c r="J49" s="5">
        <f t="shared" ref="J49:J57" si="29">IF(H$12=0,0,H49/H$12)</f>
        <v>0</v>
      </c>
      <c r="K49" s="1"/>
      <c r="L49" s="1">
        <f t="shared" ref="L49:L57" si="30">+D49-H49</f>
        <v>50.23</v>
      </c>
      <c r="M49" s="1"/>
      <c r="N49" s="5">
        <f t="shared" ref="N49:N57" si="31">IF(H49=0,0,L49/H49)</f>
        <v>0</v>
      </c>
      <c r="O49" s="14"/>
      <c r="P49" s="1">
        <f>SUM(OSRRefP22_2x_0)</f>
        <v>811.26</v>
      </c>
      <c r="Q49" s="1"/>
      <c r="R49" s="5">
        <f t="shared" ref="R49:R57" si="32">IF(P$12=0,0,P49/P$12)</f>
        <v>1.880987989138376E-3</v>
      </c>
      <c r="S49" s="1"/>
      <c r="T49" s="1">
        <f>SUM(OSRRefT22_2x_0)</f>
        <v>0</v>
      </c>
      <c r="U49" s="1"/>
      <c r="V49" s="5">
        <f t="shared" ref="V49:V57" si="33">IF(T$12=0,0,T49/T$12)</f>
        <v>0</v>
      </c>
      <c r="W49" s="1"/>
      <c r="X49" s="1">
        <f t="shared" ref="X49:X57" si="34">+P49-T49</f>
        <v>811.26</v>
      </c>
      <c r="Y49" s="1"/>
      <c r="Z49" s="5">
        <f t="shared" ref="Z49:Z57" si="35">IF(T49=0,0,X49/T49)</f>
        <v>0</v>
      </c>
    </row>
    <row r="50" spans="1:26" s="24" customFormat="1" hidden="1" outlineLevel="2" x14ac:dyDescent="0.25">
      <c r="A50" s="27"/>
      <c r="B50" s="11" t="str">
        <f>CONCATENATE("          ", "6362", " - ", "ADVERTISING EXPENSE")</f>
        <v xml:space="preserve">          6362 - ADVERTISING EXPENSE</v>
      </c>
      <c r="C50" s="11"/>
      <c r="D50" s="7">
        <v>50.23</v>
      </c>
      <c r="E50" s="2"/>
      <c r="F50" s="6">
        <f t="shared" si="28"/>
        <v>2.4339766274281008E-4</v>
      </c>
      <c r="G50" s="2"/>
      <c r="H50" s="7">
        <v>0</v>
      </c>
      <c r="I50" s="2"/>
      <c r="J50" s="6">
        <f t="shared" si="29"/>
        <v>0</v>
      </c>
      <c r="K50" s="2"/>
      <c r="L50" s="7">
        <f t="shared" si="30"/>
        <v>50.23</v>
      </c>
      <c r="M50" s="2"/>
      <c r="N50" s="6">
        <f t="shared" si="31"/>
        <v>0</v>
      </c>
      <c r="O50" s="11"/>
      <c r="P50" s="7">
        <v>811.26</v>
      </c>
      <c r="Q50" s="2"/>
      <c r="R50" s="6">
        <f t="shared" si="32"/>
        <v>1.880987989138376E-3</v>
      </c>
      <c r="S50" s="2"/>
      <c r="T50" s="7">
        <v>0</v>
      </c>
      <c r="U50" s="2"/>
      <c r="V50" s="6">
        <f t="shared" si="33"/>
        <v>0</v>
      </c>
      <c r="W50" s="2"/>
      <c r="X50" s="7">
        <f t="shared" si="34"/>
        <v>811.26</v>
      </c>
      <c r="Y50" s="2"/>
      <c r="Z50" s="6">
        <f t="shared" si="35"/>
        <v>0</v>
      </c>
    </row>
    <row r="51" spans="1:26" s="28" customFormat="1" outlineLevel="1" collapsed="1" x14ac:dyDescent="0.25">
      <c r="A51" s="29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-3.12</v>
      </c>
      <c r="E51" s="1"/>
      <c r="F51" s="5">
        <f t="shared" si="28"/>
        <v>-1.5118469196845859E-5</v>
      </c>
      <c r="G51" s="1"/>
      <c r="H51" s="1">
        <f>SUM(OSRRefH22_3x_0)</f>
        <v>10</v>
      </c>
      <c r="I51" s="1"/>
      <c r="J51" s="5">
        <f t="shared" si="29"/>
        <v>4.7668532095222658E-5</v>
      </c>
      <c r="K51" s="1"/>
      <c r="L51" s="1">
        <f t="shared" si="30"/>
        <v>-13.120000000000001</v>
      </c>
      <c r="M51" s="1"/>
      <c r="N51" s="5">
        <f t="shared" si="31"/>
        <v>-1.3120000000000001</v>
      </c>
      <c r="O51" s="14"/>
      <c r="P51" s="1">
        <f>SUM(OSRRefP22_3x_0)</f>
        <v>-103.92</v>
      </c>
      <c r="Q51" s="1"/>
      <c r="R51" s="5">
        <f t="shared" si="32"/>
        <v>-2.4094898285538551E-4</v>
      </c>
      <c r="S51" s="1"/>
      <c r="T51" s="1">
        <f>SUM(OSRRefT22_3x_0)</f>
        <v>40</v>
      </c>
      <c r="U51" s="1"/>
      <c r="V51" s="5">
        <f t="shared" si="33"/>
        <v>9.1514961552276771E-5</v>
      </c>
      <c r="W51" s="1"/>
      <c r="X51" s="1">
        <f t="shared" si="34"/>
        <v>-143.92000000000002</v>
      </c>
      <c r="Y51" s="1"/>
      <c r="Z51" s="5">
        <f t="shared" si="35"/>
        <v>-3.5980000000000003</v>
      </c>
    </row>
    <row r="52" spans="1:26" s="24" customFormat="1" hidden="1" outlineLevel="2" x14ac:dyDescent="0.25">
      <c r="A52" s="27"/>
      <c r="B52" s="11" t="str">
        <f>CONCATENATE("          ", "6272", " - ", "CASH (OVER/SHORT)")</f>
        <v xml:space="preserve">          6272 - CASH (OVER/SHORT)</v>
      </c>
      <c r="C52" s="11"/>
      <c r="D52" s="7">
        <v>-3.12</v>
      </c>
      <c r="E52" s="2"/>
      <c r="F52" s="6">
        <f t="shared" si="28"/>
        <v>-1.5118469196845859E-5</v>
      </c>
      <c r="G52" s="2"/>
      <c r="H52" s="7">
        <v>10</v>
      </c>
      <c r="I52" s="2"/>
      <c r="J52" s="6">
        <f t="shared" si="29"/>
        <v>4.7668532095222658E-5</v>
      </c>
      <c r="K52" s="2"/>
      <c r="L52" s="7">
        <f t="shared" si="30"/>
        <v>-13.120000000000001</v>
      </c>
      <c r="M52" s="2"/>
      <c r="N52" s="6">
        <f t="shared" si="31"/>
        <v>-1.3120000000000001</v>
      </c>
      <c r="O52" s="11"/>
      <c r="P52" s="7">
        <v>-103.92</v>
      </c>
      <c r="Q52" s="2"/>
      <c r="R52" s="6">
        <f t="shared" si="32"/>
        <v>-2.4094898285538551E-4</v>
      </c>
      <c r="S52" s="2"/>
      <c r="T52" s="7">
        <v>40</v>
      </c>
      <c r="U52" s="2"/>
      <c r="V52" s="6">
        <f t="shared" si="33"/>
        <v>9.1514961552276771E-5</v>
      </c>
      <c r="W52" s="2"/>
      <c r="X52" s="7">
        <f t="shared" si="34"/>
        <v>-143.92000000000002</v>
      </c>
      <c r="Y52" s="2"/>
      <c r="Z52" s="6">
        <f t="shared" si="35"/>
        <v>-3.5980000000000003</v>
      </c>
    </row>
    <row r="53" spans="1:26" s="28" customFormat="1" outlineLevel="1" collapsed="1" x14ac:dyDescent="0.25">
      <c r="A53" s="29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7396.63</v>
      </c>
      <c r="E53" s="1"/>
      <c r="F53" s="5">
        <f t="shared" si="28"/>
        <v>3.5841577825469866E-2</v>
      </c>
      <c r="G53" s="1"/>
      <c r="H53" s="1">
        <f>SUM(OSRRefH22_4x_0)</f>
        <v>9736.5</v>
      </c>
      <c r="I53" s="1"/>
      <c r="J53" s="5">
        <f t="shared" si="29"/>
        <v>4.6412466274513543E-2</v>
      </c>
      <c r="K53" s="1"/>
      <c r="L53" s="1">
        <f t="shared" si="30"/>
        <v>-2339.87</v>
      </c>
      <c r="M53" s="1"/>
      <c r="N53" s="5">
        <f t="shared" si="31"/>
        <v>-0.24031941662815179</v>
      </c>
      <c r="O53" s="14"/>
      <c r="P53" s="1">
        <f>SUM(OSRRefP22_4x_0)</f>
        <v>16980.3</v>
      </c>
      <c r="Q53" s="1"/>
      <c r="R53" s="5">
        <f t="shared" si="32"/>
        <v>3.9370535157614531E-2</v>
      </c>
      <c r="S53" s="1"/>
      <c r="T53" s="1">
        <f>SUM(OSRRefT22_4x_0)</f>
        <v>21771.25</v>
      </c>
      <c r="U53" s="1"/>
      <c r="V53" s="5">
        <f t="shared" si="33"/>
        <v>4.9809877667375144E-2</v>
      </c>
      <c r="W53" s="1"/>
      <c r="X53" s="1">
        <f t="shared" si="34"/>
        <v>-4790.9500000000007</v>
      </c>
      <c r="Y53" s="1"/>
      <c r="Z53" s="5">
        <f t="shared" si="35"/>
        <v>-0.22005856347246947</v>
      </c>
    </row>
    <row r="54" spans="1:26" s="24" customFormat="1" hidden="1" outlineLevel="2" x14ac:dyDescent="0.25">
      <c r="A54" s="27"/>
      <c r="B54" s="11" t="str">
        <f>CONCATENATE("          ", "6381", " - ", "BANK/CREDIT CARD FEES")</f>
        <v xml:space="preserve">          6381 - BANK/CREDIT CARD FEES</v>
      </c>
      <c r="C54" s="11"/>
      <c r="D54" s="7">
        <v>7396.63</v>
      </c>
      <c r="E54" s="2"/>
      <c r="F54" s="6">
        <f t="shared" si="28"/>
        <v>3.5841577825469866E-2</v>
      </c>
      <c r="G54" s="2"/>
      <c r="H54" s="7">
        <v>9736.5</v>
      </c>
      <c r="I54" s="2"/>
      <c r="J54" s="6">
        <f t="shared" si="29"/>
        <v>4.6412466274513543E-2</v>
      </c>
      <c r="K54" s="2"/>
      <c r="L54" s="7">
        <f t="shared" si="30"/>
        <v>-2339.87</v>
      </c>
      <c r="M54" s="2"/>
      <c r="N54" s="6">
        <f t="shared" si="31"/>
        <v>-0.24031941662815179</v>
      </c>
      <c r="O54" s="11"/>
      <c r="P54" s="7">
        <v>16980.3</v>
      </c>
      <c r="Q54" s="2"/>
      <c r="R54" s="6">
        <f t="shared" si="32"/>
        <v>3.9370535157614531E-2</v>
      </c>
      <c r="S54" s="2"/>
      <c r="T54" s="7">
        <v>21771.25</v>
      </c>
      <c r="U54" s="2"/>
      <c r="V54" s="6">
        <f t="shared" si="33"/>
        <v>4.9809877667375144E-2</v>
      </c>
      <c r="W54" s="2"/>
      <c r="X54" s="7">
        <f t="shared" si="34"/>
        <v>-4790.9500000000007</v>
      </c>
      <c r="Y54" s="2"/>
      <c r="Z54" s="6">
        <f t="shared" si="35"/>
        <v>-0.22005856347246947</v>
      </c>
    </row>
    <row r="55" spans="1:26" s="28" customFormat="1" outlineLevel="1" collapsed="1" x14ac:dyDescent="0.25">
      <c r="A55" s="29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39106.79</v>
      </c>
      <c r="E55" s="1"/>
      <c r="F55" s="5">
        <f t="shared" si="28"/>
        <v>0.18949833333414093</v>
      </c>
      <c r="G55" s="1"/>
      <c r="H55" s="1">
        <f>SUM(OSRRefH22_5x_0)</f>
        <v>39107</v>
      </c>
      <c r="I55" s="1"/>
      <c r="J55" s="5">
        <f t="shared" si="29"/>
        <v>0.18641732846478726</v>
      </c>
      <c r="K55" s="1"/>
      <c r="L55" s="1">
        <f t="shared" si="30"/>
        <v>-0.20999999999912689</v>
      </c>
      <c r="M55" s="1"/>
      <c r="N55" s="5">
        <f t="shared" si="31"/>
        <v>-5.3698826296859099E-6</v>
      </c>
      <c r="O55" s="14"/>
      <c r="P55" s="1">
        <f>SUM(OSRRefP22_5x_0)</f>
        <v>158947.66</v>
      </c>
      <c r="Q55" s="1"/>
      <c r="R55" s="5">
        <f t="shared" si="32"/>
        <v>0.36853615285068941</v>
      </c>
      <c r="S55" s="1"/>
      <c r="T55" s="1">
        <f>SUM(OSRRefT22_5x_0)</f>
        <v>158946</v>
      </c>
      <c r="U55" s="1"/>
      <c r="V55" s="5">
        <f t="shared" si="33"/>
        <v>0.36364842697220462</v>
      </c>
      <c r="W55" s="1"/>
      <c r="X55" s="1">
        <f t="shared" si="34"/>
        <v>1.6600000000034925</v>
      </c>
      <c r="Y55" s="1"/>
      <c r="Z55" s="5">
        <f t="shared" si="35"/>
        <v>1.0443798522790711E-5</v>
      </c>
    </row>
    <row r="56" spans="1:26" s="24" customFormat="1" hidden="1" outlineLevel="2" x14ac:dyDescent="0.25">
      <c r="A56" s="27"/>
      <c r="B56" s="11" t="str">
        <f>CONCATENATE("          ", "6321", " - ", "BUILDING DEPRECIATION")</f>
        <v xml:space="preserve">          6321 - BUILDING DEPRECIATION</v>
      </c>
      <c r="C56" s="11"/>
      <c r="D56" s="7">
        <v>28619.91</v>
      </c>
      <c r="E56" s="2"/>
      <c r="F56" s="6">
        <f t="shared" si="28"/>
        <v>0.13868244479214767</v>
      </c>
      <c r="G56" s="2"/>
      <c r="H56" s="7"/>
      <c r="I56" s="2"/>
      <c r="J56" s="6">
        <f t="shared" si="29"/>
        <v>0</v>
      </c>
      <c r="K56" s="2"/>
      <c r="L56" s="7">
        <f t="shared" si="30"/>
        <v>28619.91</v>
      </c>
      <c r="M56" s="2"/>
      <c r="N56" s="6">
        <f t="shared" si="31"/>
        <v>0</v>
      </c>
      <c r="O56" s="11"/>
      <c r="P56" s="7">
        <v>114567.78</v>
      </c>
      <c r="Q56" s="2"/>
      <c r="R56" s="6">
        <f t="shared" si="32"/>
        <v>0.26563693282332157</v>
      </c>
      <c r="S56" s="2"/>
      <c r="T56" s="7"/>
      <c r="U56" s="2"/>
      <c r="V56" s="6">
        <f t="shared" si="33"/>
        <v>0</v>
      </c>
      <c r="W56" s="2"/>
      <c r="X56" s="7">
        <f t="shared" si="34"/>
        <v>114567.78</v>
      </c>
      <c r="Y56" s="2"/>
      <c r="Z56" s="6">
        <f t="shared" si="35"/>
        <v>0</v>
      </c>
    </row>
    <row r="57" spans="1:26" s="24" customFormat="1" hidden="1" outlineLevel="2" x14ac:dyDescent="0.25">
      <c r="A57" s="27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10486.88</v>
      </c>
      <c r="E57" s="2"/>
      <c r="F57" s="6">
        <f t="shared" si="28"/>
        <v>5.0815888541993232E-2</v>
      </c>
      <c r="G57" s="2"/>
      <c r="H57" s="7">
        <v>39107</v>
      </c>
      <c r="I57" s="2"/>
      <c r="J57" s="6">
        <f t="shared" si="29"/>
        <v>0.18641732846478726</v>
      </c>
      <c r="K57" s="2"/>
      <c r="L57" s="7">
        <f t="shared" si="30"/>
        <v>-28620.120000000003</v>
      </c>
      <c r="M57" s="2"/>
      <c r="N57" s="6">
        <f t="shared" si="31"/>
        <v>-0.73184135832459674</v>
      </c>
      <c r="O57" s="11"/>
      <c r="P57" s="7">
        <v>44379.88</v>
      </c>
      <c r="Q57" s="2"/>
      <c r="R57" s="6">
        <f t="shared" si="32"/>
        <v>0.10289922002736783</v>
      </c>
      <c r="S57" s="2"/>
      <c r="T57" s="7">
        <v>158946</v>
      </c>
      <c r="U57" s="2"/>
      <c r="V57" s="6">
        <f t="shared" si="33"/>
        <v>0.36364842697220462</v>
      </c>
      <c r="W57" s="2"/>
      <c r="X57" s="7">
        <f t="shared" si="34"/>
        <v>-114566.12</v>
      </c>
      <c r="Y57" s="2"/>
      <c r="Z57" s="6">
        <f t="shared" si="35"/>
        <v>-0.72078643061165426</v>
      </c>
    </row>
    <row r="58" spans="1:26" s="28" customFormat="1" outlineLevel="1" collapsed="1" x14ac:dyDescent="0.25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SUM(OSRRefD22_6x_0)</f>
        <v>123.17</v>
      </c>
      <c r="E58" s="1"/>
      <c r="F58" s="5">
        <f t="shared" ref="F58:F73" si="36">IF(D$12=0,0,D58/D$12)</f>
        <v>5.9684033685112323E-4</v>
      </c>
      <c r="G58" s="1"/>
      <c r="H58" s="1">
        <f>SUM(OSRRefH22_6x_0)</f>
        <v>40</v>
      </c>
      <c r="I58" s="1"/>
      <c r="J58" s="5">
        <f t="shared" ref="J58:J73" si="37">IF(H$12=0,0,H58/H$12)</f>
        <v>1.9067412838089063E-4</v>
      </c>
      <c r="K58" s="1"/>
      <c r="L58" s="1">
        <f t="shared" ref="L58:L73" si="38">+D58-H58</f>
        <v>83.17</v>
      </c>
      <c r="M58" s="1"/>
      <c r="N58" s="5">
        <f t="shared" ref="N58:N73" si="39">IF(H58=0,0,L58/H58)</f>
        <v>2.07925</v>
      </c>
      <c r="O58" s="14"/>
      <c r="P58" s="1">
        <f>SUM(OSRRefP22_6x_0)</f>
        <v>141.16999999999999</v>
      </c>
      <c r="Q58" s="1"/>
      <c r="R58" s="5">
        <f t="shared" ref="R58:R73" si="40">IF(P$12=0,0,P58/P$12)</f>
        <v>3.2731685825341384E-4</v>
      </c>
      <c r="S58" s="1"/>
      <c r="T58" s="1">
        <f>SUM(OSRRefT22_6x_0)</f>
        <v>80</v>
      </c>
      <c r="U58" s="1"/>
      <c r="V58" s="5">
        <f t="shared" ref="V58:V73" si="41">IF(T$12=0,0,T58/T$12)</f>
        <v>1.8302992310455354E-4</v>
      </c>
      <c r="W58" s="1"/>
      <c r="X58" s="1">
        <f t="shared" ref="X58:X73" si="42">+P58-T58</f>
        <v>61.169999999999987</v>
      </c>
      <c r="Y58" s="1"/>
      <c r="Z58" s="5">
        <f t="shared" ref="Z58:Z73" si="43">IF(T58=0,0,X58/T58)</f>
        <v>0.76462499999999989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7">
        <v>123.17</v>
      </c>
      <c r="E59" s="2"/>
      <c r="F59" s="6">
        <f t="shared" si="36"/>
        <v>5.9684033685112323E-4</v>
      </c>
      <c r="G59" s="2"/>
      <c r="H59" s="7">
        <v>40</v>
      </c>
      <c r="I59" s="2"/>
      <c r="J59" s="6">
        <f t="shared" si="37"/>
        <v>1.9067412838089063E-4</v>
      </c>
      <c r="K59" s="2"/>
      <c r="L59" s="7">
        <f t="shared" si="38"/>
        <v>83.17</v>
      </c>
      <c r="M59" s="2"/>
      <c r="N59" s="6">
        <f t="shared" si="39"/>
        <v>2.07925</v>
      </c>
      <c r="O59" s="11"/>
      <c r="P59" s="7">
        <v>141.16999999999999</v>
      </c>
      <c r="Q59" s="2"/>
      <c r="R59" s="6">
        <f t="shared" si="40"/>
        <v>3.2731685825341384E-4</v>
      </c>
      <c r="S59" s="2"/>
      <c r="T59" s="7">
        <v>80</v>
      </c>
      <c r="U59" s="2"/>
      <c r="V59" s="6">
        <f t="shared" si="41"/>
        <v>1.8302992310455354E-4</v>
      </c>
      <c r="W59" s="2"/>
      <c r="X59" s="7">
        <f t="shared" si="42"/>
        <v>61.169999999999987</v>
      </c>
      <c r="Y59" s="2"/>
      <c r="Z59" s="6">
        <f t="shared" si="43"/>
        <v>0.76462499999999989</v>
      </c>
    </row>
    <row r="60" spans="1:26" s="28" customFormat="1" outlineLevel="1" collapsed="1" x14ac:dyDescent="0.25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SUM(OSRRefD22_7x_0)</f>
        <v>1125.7</v>
      </c>
      <c r="E60" s="1"/>
      <c r="F60" s="5">
        <f t="shared" si="36"/>
        <v>5.4547630688748022E-3</v>
      </c>
      <c r="G60" s="1"/>
      <c r="H60" s="1">
        <f>SUM(OSRRefH22_7x_0)</f>
        <v>951</v>
      </c>
      <c r="I60" s="1"/>
      <c r="J60" s="5">
        <f t="shared" si="37"/>
        <v>4.5332774022556746E-3</v>
      </c>
      <c r="K60" s="1"/>
      <c r="L60" s="1">
        <f t="shared" si="38"/>
        <v>174.70000000000005</v>
      </c>
      <c r="M60" s="1"/>
      <c r="N60" s="5">
        <f t="shared" si="39"/>
        <v>0.18370136698212414</v>
      </c>
      <c r="O60" s="14"/>
      <c r="P60" s="1">
        <f>SUM(OSRRefP22_7x_0)</f>
        <v>2924.41</v>
      </c>
      <c r="Q60" s="1"/>
      <c r="R60" s="5">
        <f t="shared" si="40"/>
        <v>6.7805390199395486E-3</v>
      </c>
      <c r="S60" s="1"/>
      <c r="T60" s="1">
        <f>SUM(OSRRefT22_7x_0)</f>
        <v>3804</v>
      </c>
      <c r="U60" s="1"/>
      <c r="V60" s="5">
        <f t="shared" si="41"/>
        <v>8.7030728436215208E-3</v>
      </c>
      <c r="W60" s="1"/>
      <c r="X60" s="1">
        <f t="shared" si="42"/>
        <v>-879.59000000000015</v>
      </c>
      <c r="Y60" s="1"/>
      <c r="Z60" s="5">
        <f t="shared" si="43"/>
        <v>-0.23122765509989487</v>
      </c>
    </row>
    <row r="61" spans="1:26" s="24" customFormat="1" hidden="1" outlineLevel="2" x14ac:dyDescent="0.25">
      <c r="A61" s="27"/>
      <c r="B61" s="11" t="str">
        <f>CONCATENATE("          ", "6351", " - ", "EQUIPMENT RENTAL")</f>
        <v xml:space="preserve">          6351 - EQUIPMENT RENTAL</v>
      </c>
      <c r="C61" s="11"/>
      <c r="D61" s="7">
        <v>1125.7</v>
      </c>
      <c r="E61" s="2"/>
      <c r="F61" s="6">
        <f t="shared" si="36"/>
        <v>5.4547630688748022E-3</v>
      </c>
      <c r="G61" s="2"/>
      <c r="H61" s="7">
        <v>951</v>
      </c>
      <c r="I61" s="2"/>
      <c r="J61" s="6">
        <f t="shared" si="37"/>
        <v>4.5332774022556746E-3</v>
      </c>
      <c r="K61" s="2"/>
      <c r="L61" s="7">
        <f t="shared" si="38"/>
        <v>174.70000000000005</v>
      </c>
      <c r="M61" s="2"/>
      <c r="N61" s="6">
        <f t="shared" si="39"/>
        <v>0.18370136698212414</v>
      </c>
      <c r="O61" s="11"/>
      <c r="P61" s="7">
        <v>2924.41</v>
      </c>
      <c r="Q61" s="2"/>
      <c r="R61" s="6">
        <f t="shared" si="40"/>
        <v>6.7805390199395486E-3</v>
      </c>
      <c r="S61" s="2"/>
      <c r="T61" s="7">
        <v>3804</v>
      </c>
      <c r="U61" s="2"/>
      <c r="V61" s="6">
        <f t="shared" si="41"/>
        <v>8.7030728436215208E-3</v>
      </c>
      <c r="W61" s="2"/>
      <c r="X61" s="7">
        <f t="shared" si="42"/>
        <v>-879.59000000000015</v>
      </c>
      <c r="Y61" s="2"/>
      <c r="Z61" s="6">
        <f t="shared" si="43"/>
        <v>-0.23122765509989487</v>
      </c>
    </row>
    <row r="62" spans="1:26" s="28" customFormat="1" outlineLevel="1" collapsed="1" x14ac:dyDescent="0.25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SUM(OSRRefD22_8x_0)</f>
        <v>1768.05</v>
      </c>
      <c r="E62" s="1"/>
      <c r="F62" s="5">
        <f t="shared" si="36"/>
        <v>8.567374828039525E-3</v>
      </c>
      <c r="G62" s="1"/>
      <c r="H62" s="1">
        <f>SUM(OSRRefH22_8x_0)</f>
        <v>0</v>
      </c>
      <c r="I62" s="1"/>
      <c r="J62" s="5">
        <f t="shared" si="37"/>
        <v>0</v>
      </c>
      <c r="K62" s="1"/>
      <c r="L62" s="1">
        <f t="shared" si="38"/>
        <v>1768.05</v>
      </c>
      <c r="M62" s="1"/>
      <c r="N62" s="5">
        <f t="shared" si="39"/>
        <v>0</v>
      </c>
      <c r="O62" s="14"/>
      <c r="P62" s="1">
        <f>SUM(OSRRefP22_8x_0)</f>
        <v>15702.26</v>
      </c>
      <c r="Q62" s="1"/>
      <c r="R62" s="5">
        <f t="shared" si="40"/>
        <v>3.6407270742213296E-2</v>
      </c>
      <c r="S62" s="1"/>
      <c r="T62" s="1">
        <f>SUM(OSRRefT22_8x_0)</f>
        <v>3535</v>
      </c>
      <c r="U62" s="1"/>
      <c r="V62" s="5">
        <f t="shared" si="41"/>
        <v>8.0876347271824599E-3</v>
      </c>
      <c r="W62" s="1"/>
      <c r="X62" s="1">
        <f t="shared" si="42"/>
        <v>12167.26</v>
      </c>
      <c r="Y62" s="1"/>
      <c r="Z62" s="5">
        <f t="shared" si="43"/>
        <v>3.4419405940594059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7">
        <v>1768.05</v>
      </c>
      <c r="E63" s="2"/>
      <c r="F63" s="6">
        <f t="shared" si="36"/>
        <v>8.567374828039525E-3</v>
      </c>
      <c r="G63" s="2"/>
      <c r="H63" s="7"/>
      <c r="I63" s="2"/>
      <c r="J63" s="6">
        <f t="shared" si="37"/>
        <v>0</v>
      </c>
      <c r="K63" s="2"/>
      <c r="L63" s="7">
        <f t="shared" si="38"/>
        <v>1768.05</v>
      </c>
      <c r="M63" s="2"/>
      <c r="N63" s="6">
        <f t="shared" si="39"/>
        <v>0</v>
      </c>
      <c r="O63" s="11"/>
      <c r="P63" s="7">
        <v>15702.26</v>
      </c>
      <c r="Q63" s="2"/>
      <c r="R63" s="6">
        <f t="shared" si="40"/>
        <v>3.6407270742213296E-2</v>
      </c>
      <c r="S63" s="2"/>
      <c r="T63" s="7">
        <v>3535</v>
      </c>
      <c r="U63" s="2"/>
      <c r="V63" s="6">
        <f t="shared" si="41"/>
        <v>8.0876347271824599E-3</v>
      </c>
      <c r="W63" s="2"/>
      <c r="X63" s="7">
        <f t="shared" si="42"/>
        <v>12167.26</v>
      </c>
      <c r="Y63" s="2"/>
      <c r="Z63" s="6">
        <f t="shared" si="43"/>
        <v>3.4419405940594059</v>
      </c>
    </row>
    <row r="64" spans="1:26" s="28" customFormat="1" outlineLevel="1" collapsed="1" x14ac:dyDescent="0.25">
      <c r="A64" s="29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SUM(OSRRefD22_9x_0)</f>
        <v>12970.22</v>
      </c>
      <c r="E64" s="1"/>
      <c r="F64" s="5">
        <f t="shared" si="36"/>
        <v>6.2849317803305799E-2</v>
      </c>
      <c r="G64" s="1"/>
      <c r="H64" s="1">
        <f>SUM(OSRRefH22_9x_0)</f>
        <v>6000</v>
      </c>
      <c r="I64" s="1"/>
      <c r="J64" s="5">
        <f t="shared" si="37"/>
        <v>2.8601119257133597E-2</v>
      </c>
      <c r="K64" s="1"/>
      <c r="L64" s="1">
        <f t="shared" si="38"/>
        <v>6970.2199999999993</v>
      </c>
      <c r="M64" s="1"/>
      <c r="N64" s="5">
        <f t="shared" si="39"/>
        <v>1.1617033333333333</v>
      </c>
      <c r="O64" s="14"/>
      <c r="P64" s="1">
        <f>SUM(OSRRefP22_9x_0)</f>
        <v>31231.88</v>
      </c>
      <c r="Q64" s="1"/>
      <c r="R64" s="5">
        <f t="shared" si="40"/>
        <v>7.2414258262716108E-2</v>
      </c>
      <c r="S64" s="1"/>
      <c r="T64" s="1">
        <f>SUM(OSRRefT22_9x_0)</f>
        <v>24000</v>
      </c>
      <c r="U64" s="1"/>
      <c r="V64" s="5">
        <f t="shared" si="41"/>
        <v>5.4908976931366066E-2</v>
      </c>
      <c r="W64" s="1"/>
      <c r="X64" s="1">
        <f t="shared" si="42"/>
        <v>7231.880000000001</v>
      </c>
      <c r="Y64" s="1"/>
      <c r="Z64" s="5">
        <f t="shared" si="43"/>
        <v>0.30132833333333336</v>
      </c>
    </row>
    <row r="65" spans="1:26" s="24" customFormat="1" hidden="1" outlineLevel="2" x14ac:dyDescent="0.25">
      <c r="A65" s="27"/>
      <c r="B65" s="11" t="str">
        <f>CONCATENATE("          ", "6314", " - ", "LIABILITY INSURANCE")</f>
        <v xml:space="preserve">          6314 - LIABILITY INSURANCE</v>
      </c>
      <c r="C65" s="11"/>
      <c r="D65" s="7">
        <v>12970.22</v>
      </c>
      <c r="E65" s="2"/>
      <c r="F65" s="6">
        <f t="shared" si="36"/>
        <v>6.2849317803305799E-2</v>
      </c>
      <c r="G65" s="2"/>
      <c r="H65" s="7">
        <v>6000</v>
      </c>
      <c r="I65" s="2"/>
      <c r="J65" s="6">
        <f t="shared" si="37"/>
        <v>2.8601119257133597E-2</v>
      </c>
      <c r="K65" s="2"/>
      <c r="L65" s="7">
        <f t="shared" si="38"/>
        <v>6970.2199999999993</v>
      </c>
      <c r="M65" s="2"/>
      <c r="N65" s="6">
        <f t="shared" si="39"/>
        <v>1.1617033333333333</v>
      </c>
      <c r="O65" s="11"/>
      <c r="P65" s="7">
        <v>31231.88</v>
      </c>
      <c r="Q65" s="2"/>
      <c r="R65" s="6">
        <f t="shared" si="40"/>
        <v>7.2414258262716108E-2</v>
      </c>
      <c r="S65" s="2"/>
      <c r="T65" s="7">
        <v>24000</v>
      </c>
      <c r="U65" s="2"/>
      <c r="V65" s="6">
        <f t="shared" si="41"/>
        <v>5.4908976931366066E-2</v>
      </c>
      <c r="W65" s="2"/>
      <c r="X65" s="7">
        <f t="shared" si="42"/>
        <v>7231.880000000001</v>
      </c>
      <c r="Y65" s="2"/>
      <c r="Z65" s="6">
        <f t="shared" si="43"/>
        <v>0.30132833333333336</v>
      </c>
    </row>
    <row r="66" spans="1:26" s="28" customFormat="1" outlineLevel="1" collapsed="1" x14ac:dyDescent="0.25">
      <c r="A66" s="29"/>
      <c r="B66" s="14" t="str">
        <f>CONCATENATE("     ","Interest                                          ")</f>
        <v xml:space="preserve">     Interest                                          </v>
      </c>
      <c r="C66" s="14"/>
      <c r="D66" s="1">
        <f>SUM(OSRRefD22_10x_0)</f>
        <v>10368</v>
      </c>
      <c r="E66" s="1"/>
      <c r="F66" s="5">
        <f t="shared" si="36"/>
        <v>5.0239836100287774E-2</v>
      </c>
      <c r="G66" s="1"/>
      <c r="H66" s="1">
        <f>SUM(OSRRefH22_10x_0)</f>
        <v>11158</v>
      </c>
      <c r="I66" s="1"/>
      <c r="J66" s="5">
        <f t="shared" si="37"/>
        <v>5.3188548111849442E-2</v>
      </c>
      <c r="K66" s="1"/>
      <c r="L66" s="1">
        <f t="shared" si="38"/>
        <v>-790</v>
      </c>
      <c r="M66" s="1"/>
      <c r="N66" s="5">
        <f t="shared" si="39"/>
        <v>-7.0801218856425888E-2</v>
      </c>
      <c r="O66" s="14"/>
      <c r="P66" s="1">
        <f>SUM(OSRRefP22_10x_0)</f>
        <v>43842</v>
      </c>
      <c r="Q66" s="1"/>
      <c r="R66" s="5">
        <f t="shared" si="40"/>
        <v>0.10165209109262713</v>
      </c>
      <c r="S66" s="1"/>
      <c r="T66" s="1">
        <f>SUM(OSRRefT22_10x_0)</f>
        <v>44632</v>
      </c>
      <c r="U66" s="1"/>
      <c r="V66" s="5">
        <f t="shared" si="41"/>
        <v>0.10211239410003042</v>
      </c>
      <c r="W66" s="1"/>
      <c r="X66" s="1">
        <f t="shared" si="42"/>
        <v>-790</v>
      </c>
      <c r="Y66" s="1"/>
      <c r="Z66" s="5">
        <f t="shared" si="43"/>
        <v>-1.7700304714106472E-2</v>
      </c>
    </row>
    <row r="67" spans="1:26" s="24" customFormat="1" hidden="1" outlineLevel="2" x14ac:dyDescent="0.25">
      <c r="A67" s="27"/>
      <c r="B67" s="11" t="str">
        <f>CONCATENATE("          ", "6401", " - ", "INTEREST EXPENSE")</f>
        <v xml:space="preserve">          6401 - INTEREST EXPENSE</v>
      </c>
      <c r="C67" s="11"/>
      <c r="D67" s="7">
        <v>10368</v>
      </c>
      <c r="E67" s="2"/>
      <c r="F67" s="6">
        <f t="shared" si="36"/>
        <v>5.0239836100287774E-2</v>
      </c>
      <c r="G67" s="2"/>
      <c r="H67" s="7">
        <v>11158</v>
      </c>
      <c r="I67" s="2"/>
      <c r="J67" s="6">
        <f t="shared" si="37"/>
        <v>5.3188548111849442E-2</v>
      </c>
      <c r="K67" s="2"/>
      <c r="L67" s="7">
        <f t="shared" si="38"/>
        <v>-790</v>
      </c>
      <c r="M67" s="2"/>
      <c r="N67" s="6">
        <f t="shared" si="39"/>
        <v>-7.0801218856425888E-2</v>
      </c>
      <c r="O67" s="11"/>
      <c r="P67" s="7">
        <v>43842</v>
      </c>
      <c r="Q67" s="2"/>
      <c r="R67" s="6">
        <f t="shared" si="40"/>
        <v>0.10165209109262713</v>
      </c>
      <c r="S67" s="2"/>
      <c r="T67" s="7">
        <v>44632</v>
      </c>
      <c r="U67" s="2"/>
      <c r="V67" s="6">
        <f t="shared" si="41"/>
        <v>0.10211239410003042</v>
      </c>
      <c r="W67" s="2"/>
      <c r="X67" s="7">
        <f t="shared" si="42"/>
        <v>-790</v>
      </c>
      <c r="Y67" s="2"/>
      <c r="Z67" s="6">
        <f t="shared" si="43"/>
        <v>-1.7700304714106472E-2</v>
      </c>
    </row>
    <row r="68" spans="1:26" s="28" customFormat="1" outlineLevel="1" collapsed="1" x14ac:dyDescent="0.25">
      <c r="A68" s="29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SUM(OSRRefD22_11x_0)</f>
        <v>1850</v>
      </c>
      <c r="E68" s="1"/>
      <c r="F68" s="5">
        <f t="shared" si="36"/>
        <v>8.9644769276169354E-3</v>
      </c>
      <c r="G68" s="1"/>
      <c r="H68" s="1">
        <f>SUM(OSRRefH22_11x_0)</f>
        <v>1850</v>
      </c>
      <c r="I68" s="1"/>
      <c r="J68" s="5">
        <f t="shared" si="37"/>
        <v>8.8186784376161915E-3</v>
      </c>
      <c r="K68" s="1"/>
      <c r="L68" s="1">
        <f t="shared" si="38"/>
        <v>0</v>
      </c>
      <c r="M68" s="1"/>
      <c r="N68" s="5">
        <f t="shared" si="39"/>
        <v>0</v>
      </c>
      <c r="O68" s="14"/>
      <c r="P68" s="1">
        <f>SUM(OSRRefP22_11x_0)</f>
        <v>7400</v>
      </c>
      <c r="Q68" s="1"/>
      <c r="R68" s="5">
        <f t="shared" si="40"/>
        <v>1.7157645045514362E-2</v>
      </c>
      <c r="S68" s="1"/>
      <c r="T68" s="1">
        <f>SUM(OSRRefT22_11x_0)</f>
        <v>7400</v>
      </c>
      <c r="U68" s="1"/>
      <c r="V68" s="5">
        <f t="shared" si="41"/>
        <v>1.6930267887171203E-2</v>
      </c>
      <c r="W68" s="1"/>
      <c r="X68" s="1">
        <f t="shared" si="42"/>
        <v>0</v>
      </c>
      <c r="Y68" s="1"/>
      <c r="Z68" s="5">
        <f t="shared" si="43"/>
        <v>0</v>
      </c>
    </row>
    <row r="69" spans="1:26" s="24" customFormat="1" hidden="1" outlineLevel="2" x14ac:dyDescent="0.25">
      <c r="A69" s="27"/>
      <c r="B69" s="11" t="str">
        <f>CONCATENATE("          ", "6273", " - ", "RENT")</f>
        <v xml:space="preserve">          6273 - RENT</v>
      </c>
      <c r="C69" s="11"/>
      <c r="D69" s="7">
        <v>1850</v>
      </c>
      <c r="E69" s="2"/>
      <c r="F69" s="6">
        <f t="shared" si="36"/>
        <v>8.9644769276169354E-3</v>
      </c>
      <c r="G69" s="2"/>
      <c r="H69" s="7">
        <v>1850</v>
      </c>
      <c r="I69" s="2"/>
      <c r="J69" s="6">
        <f t="shared" si="37"/>
        <v>8.8186784376161915E-3</v>
      </c>
      <c r="K69" s="2"/>
      <c r="L69" s="7">
        <f t="shared" si="38"/>
        <v>0</v>
      </c>
      <c r="M69" s="2"/>
      <c r="N69" s="6">
        <f t="shared" si="39"/>
        <v>0</v>
      </c>
      <c r="O69" s="11"/>
      <c r="P69" s="7">
        <v>7400</v>
      </c>
      <c r="Q69" s="2"/>
      <c r="R69" s="6">
        <f t="shared" si="40"/>
        <v>1.7157645045514362E-2</v>
      </c>
      <c r="S69" s="2"/>
      <c r="T69" s="7">
        <v>7400</v>
      </c>
      <c r="U69" s="2"/>
      <c r="V69" s="6">
        <f t="shared" si="41"/>
        <v>1.6930267887171203E-2</v>
      </c>
      <c r="W69" s="2"/>
      <c r="X69" s="7">
        <f t="shared" si="42"/>
        <v>0</v>
      </c>
      <c r="Y69" s="2"/>
      <c r="Z69" s="6">
        <f t="shared" si="43"/>
        <v>0</v>
      </c>
    </row>
    <row r="70" spans="1:26" s="28" customFormat="1" outlineLevel="1" collapsed="1" x14ac:dyDescent="0.25">
      <c r="A70" s="29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SUM(OSRRefD22_12x_0)</f>
        <v>7846.24</v>
      </c>
      <c r="E70" s="1"/>
      <c r="F70" s="5">
        <f t="shared" si="36"/>
        <v>3.8020236458673029E-2</v>
      </c>
      <c r="G70" s="1"/>
      <c r="H70" s="1">
        <f>SUM(OSRRefH22_12x_0)</f>
        <v>3780</v>
      </c>
      <c r="I70" s="1"/>
      <c r="J70" s="5">
        <f t="shared" si="37"/>
        <v>1.8018705131994165E-2</v>
      </c>
      <c r="K70" s="1"/>
      <c r="L70" s="1">
        <f t="shared" si="38"/>
        <v>4066.24</v>
      </c>
      <c r="M70" s="1"/>
      <c r="N70" s="5">
        <f t="shared" si="39"/>
        <v>1.0757248677248676</v>
      </c>
      <c r="O70" s="14"/>
      <c r="P70" s="1">
        <f>SUM(OSRRefP22_12x_0)</f>
        <v>38876.29</v>
      </c>
      <c r="Q70" s="1"/>
      <c r="R70" s="5">
        <f t="shared" si="40"/>
        <v>9.0138592500875622E-2</v>
      </c>
      <c r="S70" s="1"/>
      <c r="T70" s="1">
        <f>SUM(OSRRefT22_12x_0)</f>
        <v>25601</v>
      </c>
      <c r="U70" s="1"/>
      <c r="V70" s="5">
        <f t="shared" si="41"/>
        <v>5.8571863267495944E-2</v>
      </c>
      <c r="W70" s="1"/>
      <c r="X70" s="1">
        <f t="shared" si="42"/>
        <v>13275.29</v>
      </c>
      <c r="Y70" s="1"/>
      <c r="Z70" s="5">
        <f t="shared" si="43"/>
        <v>0.51854575993125274</v>
      </c>
    </row>
    <row r="71" spans="1:26" s="24" customFormat="1" hidden="1" outlineLevel="2" x14ac:dyDescent="0.25">
      <c r="A71" s="27"/>
      <c r="B71" s="11" t="str">
        <f>CONCATENATE("          ", "6371", " - ", "COMPUTER SOFTWARE MAINTENANCE")</f>
        <v xml:space="preserve">          6371 - COMPUTER SOFTWARE MAINTENANCE</v>
      </c>
      <c r="C71" s="11"/>
      <c r="D71" s="7">
        <v>159.68</v>
      </c>
      <c r="E71" s="2"/>
      <c r="F71" s="6">
        <f t="shared" si="36"/>
        <v>7.7375550043344446E-4</v>
      </c>
      <c r="G71" s="2"/>
      <c r="H71" s="7"/>
      <c r="I71" s="2"/>
      <c r="J71" s="6">
        <f t="shared" si="37"/>
        <v>0</v>
      </c>
      <c r="K71" s="2"/>
      <c r="L71" s="7">
        <f t="shared" si="38"/>
        <v>159.68</v>
      </c>
      <c r="M71" s="2"/>
      <c r="N71" s="6">
        <f t="shared" si="39"/>
        <v>0</v>
      </c>
      <c r="O71" s="11"/>
      <c r="P71" s="7">
        <v>5337.4</v>
      </c>
      <c r="Q71" s="2"/>
      <c r="R71" s="6">
        <f t="shared" si="40"/>
        <v>1.2375299279179507E-2</v>
      </c>
      <c r="S71" s="2"/>
      <c r="T71" s="7">
        <v>2623</v>
      </c>
      <c r="U71" s="2"/>
      <c r="V71" s="6">
        <f t="shared" si="41"/>
        <v>6.0010936037905496E-3</v>
      </c>
      <c r="W71" s="2"/>
      <c r="X71" s="7">
        <f t="shared" si="42"/>
        <v>2714.3999999999996</v>
      </c>
      <c r="Y71" s="2"/>
      <c r="Z71" s="6">
        <f t="shared" si="43"/>
        <v>1.0348455966450627</v>
      </c>
    </row>
    <row r="72" spans="1:26" s="24" customFormat="1" hidden="1" outlineLevel="2" x14ac:dyDescent="0.25">
      <c r="A72" s="27"/>
      <c r="B72" s="11" t="str">
        <f>CONCATENATE("          ", "6373", " - ", "MAINTENANCE CONTRACTS")</f>
        <v xml:space="preserve">          6373 - MAINTENANCE CONTRACTS</v>
      </c>
      <c r="C72" s="11"/>
      <c r="D72" s="7">
        <v>2854.56</v>
      </c>
      <c r="E72" s="2"/>
      <c r="F72" s="6">
        <f t="shared" si="36"/>
        <v>1.3832236355944973E-2</v>
      </c>
      <c r="G72" s="2"/>
      <c r="H72" s="7">
        <v>1180</v>
      </c>
      <c r="I72" s="2"/>
      <c r="J72" s="6">
        <f t="shared" si="37"/>
        <v>5.6248867872362735E-3</v>
      </c>
      <c r="K72" s="2"/>
      <c r="L72" s="7">
        <f t="shared" si="38"/>
        <v>1674.56</v>
      </c>
      <c r="M72" s="2"/>
      <c r="N72" s="6">
        <f t="shared" si="39"/>
        <v>1.4191186440677965</v>
      </c>
      <c r="O72" s="11"/>
      <c r="P72" s="7">
        <v>4016.78</v>
      </c>
      <c r="Q72" s="2"/>
      <c r="R72" s="6">
        <f t="shared" si="40"/>
        <v>9.3133088467461066E-3</v>
      </c>
      <c r="S72" s="2"/>
      <c r="T72" s="7">
        <v>2758</v>
      </c>
      <c r="U72" s="2"/>
      <c r="V72" s="6">
        <f t="shared" si="41"/>
        <v>6.3099565990294842E-3</v>
      </c>
      <c r="W72" s="2"/>
      <c r="X72" s="7">
        <f t="shared" si="42"/>
        <v>1258.7800000000002</v>
      </c>
      <c r="Y72" s="2"/>
      <c r="Z72" s="6">
        <f t="shared" si="43"/>
        <v>0.45641044234952871</v>
      </c>
    </row>
    <row r="73" spans="1:26" s="24" customFormat="1" hidden="1" outlineLevel="2" x14ac:dyDescent="0.25">
      <c r="A73" s="27"/>
      <c r="B73" s="11" t="str">
        <f>CONCATENATE("          ", "6375", " - ", "OUTSIDE REPAIRS &amp; MAINTENANCE")</f>
        <v xml:space="preserve">          6375 - OUTSIDE REPAIRS &amp; MAINTENANCE</v>
      </c>
      <c r="C73" s="11"/>
      <c r="D73" s="7">
        <v>4832</v>
      </c>
      <c r="E73" s="2"/>
      <c r="F73" s="6">
        <f t="shared" si="36"/>
        <v>2.3414244602294611E-2</v>
      </c>
      <c r="G73" s="2"/>
      <c r="H73" s="7">
        <v>2600</v>
      </c>
      <c r="I73" s="2"/>
      <c r="J73" s="6">
        <f t="shared" si="37"/>
        <v>1.2393818344757892E-2</v>
      </c>
      <c r="K73" s="2"/>
      <c r="L73" s="7">
        <f t="shared" si="38"/>
        <v>2232</v>
      </c>
      <c r="M73" s="2"/>
      <c r="N73" s="6">
        <f t="shared" si="39"/>
        <v>0.8584615384615385</v>
      </c>
      <c r="O73" s="11"/>
      <c r="P73" s="7">
        <v>29522.11</v>
      </c>
      <c r="Q73" s="2"/>
      <c r="R73" s="6">
        <f t="shared" si="40"/>
        <v>6.8449984374950007E-2</v>
      </c>
      <c r="S73" s="2"/>
      <c r="T73" s="7">
        <v>20220</v>
      </c>
      <c r="U73" s="2"/>
      <c r="V73" s="6">
        <f t="shared" si="41"/>
        <v>4.6260813064675908E-2</v>
      </c>
      <c r="W73" s="2"/>
      <c r="X73" s="7">
        <f t="shared" si="42"/>
        <v>9302.11</v>
      </c>
      <c r="Y73" s="2"/>
      <c r="Z73" s="6">
        <f t="shared" si="43"/>
        <v>0.46004500494559847</v>
      </c>
    </row>
    <row r="74" spans="1:26" s="28" customFormat="1" outlineLevel="1" collapsed="1" x14ac:dyDescent="0.25">
      <c r="A74" s="29"/>
      <c r="B74" s="14" t="str">
        <f>CONCATENATE("     ","Royalty &amp; Commissions                             ")</f>
        <v xml:space="preserve">     Royalty &amp; Commissions                             </v>
      </c>
      <c r="C74" s="14"/>
      <c r="D74" s="1">
        <f>SUM(OSRRefD22_13x_0)</f>
        <v>1066.22</v>
      </c>
      <c r="E74" s="1"/>
      <c r="F74" s="5">
        <f t="shared" ref="F74:F76" si="44">IF(D$12=0,0,D74/D$12)</f>
        <v>5.1665430214939074E-3</v>
      </c>
      <c r="G74" s="1"/>
      <c r="H74" s="1">
        <f>SUM(OSRRefH22_13x_0)</f>
        <v>1382</v>
      </c>
      <c r="I74" s="1"/>
      <c r="J74" s="5">
        <f t="shared" ref="J74:J76" si="45">IF(H$12=0,0,H74/H$12)</f>
        <v>6.5877911355597717E-3</v>
      </c>
      <c r="K74" s="1"/>
      <c r="L74" s="1">
        <f t="shared" ref="L74:L76" si="46">+D74-H74</f>
        <v>-315.77999999999997</v>
      </c>
      <c r="M74" s="1"/>
      <c r="N74" s="5">
        <f t="shared" ref="N74:N76" si="47">IF(H74=0,0,L74/H74)</f>
        <v>-0.22849493487698985</v>
      </c>
      <c r="O74" s="14"/>
      <c r="P74" s="1">
        <f>SUM(OSRRefP22_13x_0)</f>
        <v>1066.22</v>
      </c>
      <c r="Q74" s="1"/>
      <c r="R74" s="5">
        <f t="shared" ref="R74:R76" si="48">IF(P$12=0,0,P74/P$12)</f>
        <v>2.4721384189768008E-3</v>
      </c>
      <c r="S74" s="1"/>
      <c r="T74" s="1">
        <f>SUM(OSRRefT22_13x_0)</f>
        <v>3011</v>
      </c>
      <c r="U74" s="1"/>
      <c r="V74" s="5">
        <f t="shared" ref="V74:V76" si="49">IF(T$12=0,0,T74/T$12)</f>
        <v>6.8887887308476349E-3</v>
      </c>
      <c r="W74" s="1"/>
      <c r="X74" s="1">
        <f t="shared" ref="X74:X76" si="50">+P74-T74</f>
        <v>-1944.78</v>
      </c>
      <c r="Y74" s="1"/>
      <c r="Z74" s="5">
        <f t="shared" ref="Z74:Z76" si="51">IF(T74=0,0,X74/T74)</f>
        <v>-0.64589173032215208</v>
      </c>
    </row>
    <row r="75" spans="1:26" s="24" customFormat="1" hidden="1" outlineLevel="2" x14ac:dyDescent="0.25">
      <c r="A75" s="27"/>
      <c r="B75" s="11" t="str">
        <f>CONCATENATE("          ", "6254", " - ", "ROYALTY &amp; COMMISSIONS")</f>
        <v xml:space="preserve">          6254 - ROYALTY &amp; COMMISSIONS</v>
      </c>
      <c r="C75" s="11"/>
      <c r="D75" s="7">
        <v>1066.22</v>
      </c>
      <c r="E75" s="2"/>
      <c r="F75" s="6">
        <f t="shared" si="44"/>
        <v>5.1665430214939074E-3</v>
      </c>
      <c r="G75" s="2"/>
      <c r="H75" s="7"/>
      <c r="I75" s="2"/>
      <c r="J75" s="6">
        <f t="shared" si="45"/>
        <v>0</v>
      </c>
      <c r="K75" s="2"/>
      <c r="L75" s="7">
        <f t="shared" si="46"/>
        <v>1066.22</v>
      </c>
      <c r="M75" s="2"/>
      <c r="N75" s="6">
        <f t="shared" si="47"/>
        <v>0</v>
      </c>
      <c r="O75" s="11"/>
      <c r="P75" s="7">
        <v>1066.22</v>
      </c>
      <c r="Q75" s="2"/>
      <c r="R75" s="6">
        <f t="shared" si="48"/>
        <v>2.4721384189768008E-3</v>
      </c>
      <c r="S75" s="2"/>
      <c r="T75" s="7"/>
      <c r="U75" s="2"/>
      <c r="V75" s="6">
        <f t="shared" si="49"/>
        <v>0</v>
      </c>
      <c r="W75" s="2"/>
      <c r="X75" s="7">
        <f t="shared" si="50"/>
        <v>1066.22</v>
      </c>
      <c r="Y75" s="2"/>
      <c r="Z75" s="6">
        <f t="shared" si="51"/>
        <v>0</v>
      </c>
    </row>
    <row r="76" spans="1:26" s="24" customFormat="1" hidden="1" outlineLevel="2" x14ac:dyDescent="0.25">
      <c r="A76" s="27"/>
      <c r="B76" s="11" t="str">
        <f>CONCATENATE("          ", "6259", " - ", "ROYALTY &amp; COMMISSIONS")</f>
        <v xml:space="preserve">          6259 - ROYALTY &amp; COMMISSIONS</v>
      </c>
      <c r="C76" s="11"/>
      <c r="D76" s="7"/>
      <c r="E76" s="2"/>
      <c r="F76" s="6">
        <f t="shared" si="44"/>
        <v>0</v>
      </c>
      <c r="G76" s="2"/>
      <c r="H76" s="7">
        <v>1382</v>
      </c>
      <c r="I76" s="2"/>
      <c r="J76" s="6">
        <f t="shared" si="45"/>
        <v>6.5877911355597717E-3</v>
      </c>
      <c r="K76" s="2"/>
      <c r="L76" s="7">
        <f t="shared" si="46"/>
        <v>-1382</v>
      </c>
      <c r="M76" s="2"/>
      <c r="N76" s="6">
        <f t="shared" si="47"/>
        <v>-1</v>
      </c>
      <c r="O76" s="11"/>
      <c r="P76" s="7"/>
      <c r="Q76" s="2"/>
      <c r="R76" s="6">
        <f t="shared" si="48"/>
        <v>0</v>
      </c>
      <c r="S76" s="2"/>
      <c r="T76" s="7">
        <v>3011</v>
      </c>
      <c r="U76" s="2"/>
      <c r="V76" s="6">
        <f t="shared" si="49"/>
        <v>6.8887887308476349E-3</v>
      </c>
      <c r="W76" s="2"/>
      <c r="X76" s="7">
        <f t="shared" si="50"/>
        <v>-3011</v>
      </c>
      <c r="Y76" s="2"/>
      <c r="Z76" s="6">
        <f t="shared" si="51"/>
        <v>-1</v>
      </c>
    </row>
    <row r="77" spans="1:26" s="28" customFormat="1" outlineLevel="1" collapsed="1" x14ac:dyDescent="0.25">
      <c r="A77" s="29"/>
      <c r="B77" s="14" t="str">
        <f>CONCATENATE("     ","Services                                          ")</f>
        <v xml:space="preserve">     Services                                          </v>
      </c>
      <c r="C77" s="14"/>
      <c r="D77" s="1">
        <f>SUM(OSRRefD22_14x_0)</f>
        <v>6609.9</v>
      </c>
      <c r="E77" s="1"/>
      <c r="F77" s="5">
        <f t="shared" ref="F77:F82" si="52">IF(D$12=0,0,D77/D$12)</f>
        <v>3.2029349212894694E-2</v>
      </c>
      <c r="G77" s="1"/>
      <c r="H77" s="1">
        <f>SUM(OSRRefH22_14x_0)</f>
        <v>12304</v>
      </c>
      <c r="I77" s="1"/>
      <c r="J77" s="5">
        <f t="shared" ref="J77:J82" si="53">IF(H$12=0,0,H77/H$12)</f>
        <v>5.8651361889961957E-2</v>
      </c>
      <c r="K77" s="1"/>
      <c r="L77" s="1">
        <f t="shared" ref="L77:L82" si="54">+D77-H77</f>
        <v>-5694.1</v>
      </c>
      <c r="M77" s="1"/>
      <c r="N77" s="5">
        <f t="shared" ref="N77:N82" si="55">IF(H77=0,0,L77/H77)</f>
        <v>-0.46278446033810144</v>
      </c>
      <c r="O77" s="14"/>
      <c r="P77" s="1">
        <f>SUM(OSRRefP22_14x_0)</f>
        <v>43960.32</v>
      </c>
      <c r="Q77" s="1"/>
      <c r="R77" s="5">
        <f t="shared" ref="R77:R82" si="56">IF(P$12=0,0,P77/P$12)</f>
        <v>0.10192642792530081</v>
      </c>
      <c r="S77" s="1"/>
      <c r="T77" s="1">
        <f>SUM(OSRRefT22_14x_0)</f>
        <v>40896</v>
      </c>
      <c r="U77" s="1"/>
      <c r="V77" s="5">
        <f t="shared" ref="V77:V82" si="57">IF(T$12=0,0,T77/T$12)</f>
        <v>9.3564896691047783E-2</v>
      </c>
      <c r="W77" s="1"/>
      <c r="X77" s="1">
        <f t="shared" ref="X77:X82" si="58">+P77-T77</f>
        <v>3064.3199999999997</v>
      </c>
      <c r="Y77" s="1"/>
      <c r="Z77" s="5">
        <f t="shared" ref="Z77:Z82" si="59">IF(T77=0,0,X77/T77)</f>
        <v>7.4929577464788719E-2</v>
      </c>
    </row>
    <row r="78" spans="1:26" s="24" customFormat="1" hidden="1" outlineLevel="2" x14ac:dyDescent="0.25">
      <c r="A78" s="27"/>
      <c r="B78" s="11" t="str">
        <f>CONCATENATE("          ", "6282", " - ", "JANITORIAL/EXTERMINATOR EXPENS")</f>
        <v xml:space="preserve">          6282 - JANITORIAL/EXTERMINATOR EXPENS</v>
      </c>
      <c r="C78" s="11"/>
      <c r="D78" s="7">
        <v>1925.71</v>
      </c>
      <c r="E78" s="2"/>
      <c r="F78" s="6">
        <f t="shared" si="52"/>
        <v>9.3313420888006537E-3</v>
      </c>
      <c r="G78" s="2"/>
      <c r="H78" s="7">
        <v>1386</v>
      </c>
      <c r="I78" s="2"/>
      <c r="J78" s="6">
        <f t="shared" si="53"/>
        <v>6.6068585483978603E-3</v>
      </c>
      <c r="K78" s="2"/>
      <c r="L78" s="7">
        <f t="shared" si="54"/>
        <v>539.71</v>
      </c>
      <c r="M78" s="2"/>
      <c r="N78" s="6">
        <f t="shared" si="55"/>
        <v>0.38940115440115441</v>
      </c>
      <c r="O78" s="11"/>
      <c r="P78" s="7">
        <v>5431.46</v>
      </c>
      <c r="Q78" s="2"/>
      <c r="R78" s="6">
        <f t="shared" si="56"/>
        <v>1.2593386859312087E-2</v>
      </c>
      <c r="S78" s="2"/>
      <c r="T78" s="7">
        <v>5186</v>
      </c>
      <c r="U78" s="2"/>
      <c r="V78" s="6">
        <f t="shared" si="57"/>
        <v>1.1864914765252685E-2</v>
      </c>
      <c r="W78" s="2"/>
      <c r="X78" s="7">
        <f t="shared" si="58"/>
        <v>245.46000000000004</v>
      </c>
      <c r="Y78" s="2"/>
      <c r="Z78" s="6">
        <f t="shared" si="59"/>
        <v>4.7331276513690713E-2</v>
      </c>
    </row>
    <row r="79" spans="1:26" s="24" customFormat="1" hidden="1" outlineLevel="2" x14ac:dyDescent="0.25">
      <c r="A79" s="27"/>
      <c r="B79" s="11" t="str">
        <f>CONCATENATE("          ", "6283", " - ", "PLANT SERVICE")</f>
        <v xml:space="preserve">          6283 - PLANT SERVICE</v>
      </c>
      <c r="C79" s="11"/>
      <c r="D79" s="7"/>
      <c r="E79" s="2"/>
      <c r="F79" s="6">
        <f t="shared" si="52"/>
        <v>0</v>
      </c>
      <c r="G79" s="2"/>
      <c r="H79" s="7">
        <v>100</v>
      </c>
      <c r="I79" s="2"/>
      <c r="J79" s="6">
        <f t="shared" si="53"/>
        <v>4.7668532095222662E-4</v>
      </c>
      <c r="K79" s="2"/>
      <c r="L79" s="7">
        <f t="shared" si="54"/>
        <v>-100</v>
      </c>
      <c r="M79" s="2"/>
      <c r="N79" s="6">
        <f t="shared" si="55"/>
        <v>-1</v>
      </c>
      <c r="O79" s="11"/>
      <c r="P79" s="7"/>
      <c r="Q79" s="2"/>
      <c r="R79" s="6">
        <f t="shared" si="56"/>
        <v>0</v>
      </c>
      <c r="S79" s="2"/>
      <c r="T79" s="7">
        <v>400</v>
      </c>
      <c r="U79" s="2"/>
      <c r="V79" s="6">
        <f t="shared" si="57"/>
        <v>9.1514961552276782E-4</v>
      </c>
      <c r="W79" s="2"/>
      <c r="X79" s="7">
        <f t="shared" si="58"/>
        <v>-400</v>
      </c>
      <c r="Y79" s="2"/>
      <c r="Z79" s="6">
        <f t="shared" si="59"/>
        <v>-1</v>
      </c>
    </row>
    <row r="80" spans="1:26" s="24" customFormat="1" hidden="1" outlineLevel="2" x14ac:dyDescent="0.25">
      <c r="A80" s="27"/>
      <c r="B80" s="11" t="str">
        <f>CONCATENATE("          ", "6284", " - ", "TRASH REMOVAL EXPENSE")</f>
        <v xml:space="preserve">          6284 - TRASH REMOVAL EXPENSE</v>
      </c>
      <c r="C80" s="11"/>
      <c r="D80" s="7"/>
      <c r="E80" s="2"/>
      <c r="F80" s="6">
        <f t="shared" si="52"/>
        <v>0</v>
      </c>
      <c r="G80" s="2"/>
      <c r="H80" s="7">
        <v>1000</v>
      </c>
      <c r="I80" s="2"/>
      <c r="J80" s="6">
        <f t="shared" si="53"/>
        <v>4.7668532095222656E-3</v>
      </c>
      <c r="K80" s="2"/>
      <c r="L80" s="7">
        <f t="shared" si="54"/>
        <v>-1000</v>
      </c>
      <c r="M80" s="2"/>
      <c r="N80" s="6">
        <f t="shared" si="55"/>
        <v>-1</v>
      </c>
      <c r="O80" s="11"/>
      <c r="P80" s="7"/>
      <c r="Q80" s="2"/>
      <c r="R80" s="6">
        <f t="shared" si="56"/>
        <v>0</v>
      </c>
      <c r="S80" s="2"/>
      <c r="T80" s="7">
        <v>4000</v>
      </c>
      <c r="U80" s="2"/>
      <c r="V80" s="6">
        <f t="shared" si="57"/>
        <v>9.1514961552276782E-3</v>
      </c>
      <c r="W80" s="2"/>
      <c r="X80" s="7">
        <f t="shared" si="58"/>
        <v>-4000</v>
      </c>
      <c r="Y80" s="2"/>
      <c r="Z80" s="6">
        <f t="shared" si="59"/>
        <v>-1</v>
      </c>
    </row>
    <row r="81" spans="1:26" s="24" customFormat="1" hidden="1" outlineLevel="2" x14ac:dyDescent="0.25">
      <c r="A81" s="27"/>
      <c r="B81" s="11" t="str">
        <f>CONCATENATE("          ", "6285", " - ", "JANITORIAL SERVICES")</f>
        <v xml:space="preserve">          6285 - JANITORIAL SERVICES</v>
      </c>
      <c r="C81" s="11"/>
      <c r="D81" s="7">
        <v>3804.38</v>
      </c>
      <c r="E81" s="2"/>
      <c r="F81" s="6">
        <f t="shared" si="52"/>
        <v>1.8434744180479631E-2</v>
      </c>
      <c r="G81" s="2"/>
      <c r="H81" s="7">
        <v>9099</v>
      </c>
      <c r="I81" s="2"/>
      <c r="J81" s="6">
        <f t="shared" si="53"/>
        <v>4.3373597353443101E-2</v>
      </c>
      <c r="K81" s="2"/>
      <c r="L81" s="7">
        <f t="shared" si="54"/>
        <v>-5294.62</v>
      </c>
      <c r="M81" s="2"/>
      <c r="N81" s="6">
        <f t="shared" si="55"/>
        <v>-0.58189031761732057</v>
      </c>
      <c r="O81" s="11"/>
      <c r="P81" s="7">
        <v>37017.919999999998</v>
      </c>
      <c r="Q81" s="2"/>
      <c r="R81" s="6">
        <f t="shared" si="56"/>
        <v>8.5829774551790139E-2</v>
      </c>
      <c r="S81" s="2"/>
      <c r="T81" s="7">
        <v>28588</v>
      </c>
      <c r="U81" s="2"/>
      <c r="V81" s="6">
        <f t="shared" si="57"/>
        <v>6.5405743021412208E-2</v>
      </c>
      <c r="W81" s="2"/>
      <c r="X81" s="7">
        <f t="shared" si="58"/>
        <v>8429.9199999999983</v>
      </c>
      <c r="Y81" s="2"/>
      <c r="Z81" s="6">
        <f t="shared" si="59"/>
        <v>0.29487617182034415</v>
      </c>
    </row>
    <row r="82" spans="1:26" s="24" customFormat="1" hidden="1" outlineLevel="2" x14ac:dyDescent="0.25">
      <c r="A82" s="27"/>
      <c r="B82" s="11" t="str">
        <f>CONCATENATE("          ", "6286", " - ", "LAUNDRY EXPENSE")</f>
        <v xml:space="preserve">          6286 - LAUNDRY EXPENSE</v>
      </c>
      <c r="C82" s="11"/>
      <c r="D82" s="7">
        <v>879.81</v>
      </c>
      <c r="E82" s="2"/>
      <c r="F82" s="6">
        <f t="shared" si="52"/>
        <v>4.2632629436144083E-3</v>
      </c>
      <c r="G82" s="2"/>
      <c r="H82" s="7">
        <v>719</v>
      </c>
      <c r="I82" s="2"/>
      <c r="J82" s="6">
        <f t="shared" si="53"/>
        <v>3.4273674576465094E-3</v>
      </c>
      <c r="K82" s="2"/>
      <c r="L82" s="7">
        <f t="shared" si="54"/>
        <v>160.80999999999995</v>
      </c>
      <c r="M82" s="2"/>
      <c r="N82" s="6">
        <f t="shared" si="55"/>
        <v>0.22365785813630035</v>
      </c>
      <c r="O82" s="11"/>
      <c r="P82" s="7">
        <v>1510.94</v>
      </c>
      <c r="Q82" s="2"/>
      <c r="R82" s="6">
        <f t="shared" si="56"/>
        <v>3.5032665141985775E-3</v>
      </c>
      <c r="S82" s="2"/>
      <c r="T82" s="7">
        <v>2722</v>
      </c>
      <c r="U82" s="2"/>
      <c r="V82" s="6">
        <f t="shared" si="57"/>
        <v>6.227593133632435E-3</v>
      </c>
      <c r="W82" s="2"/>
      <c r="X82" s="7">
        <f t="shared" si="58"/>
        <v>-1211.06</v>
      </c>
      <c r="Y82" s="2"/>
      <c r="Z82" s="6">
        <f t="shared" si="59"/>
        <v>-0.44491550330639235</v>
      </c>
    </row>
    <row r="83" spans="1:26" s="28" customFormat="1" outlineLevel="1" collapsed="1" x14ac:dyDescent="0.25">
      <c r="A83" s="29"/>
      <c r="B83" s="14" t="str">
        <f>CONCATENATE("     ","Subscriptions &amp; Dues                              ")</f>
        <v xml:space="preserve">     Subscriptions &amp; Dues                              </v>
      </c>
      <c r="C83" s="14"/>
      <c r="D83" s="1">
        <f>SUM(OSRRefD22_15x_0)</f>
        <v>813.81</v>
      </c>
      <c r="E83" s="1"/>
      <c r="F83" s="5">
        <f t="shared" ref="F83:F95" si="60">IF(D$12=0,0,D83/D$12)</f>
        <v>3.943449172142669E-3</v>
      </c>
      <c r="G83" s="1"/>
      <c r="H83" s="1">
        <f>SUM(OSRRefH22_15x_0)</f>
        <v>610</v>
      </c>
      <c r="I83" s="1"/>
      <c r="J83" s="5">
        <f t="shared" ref="J83:J95" si="61">IF(H$12=0,0,H83/H$12)</f>
        <v>2.9077804578085823E-3</v>
      </c>
      <c r="K83" s="1"/>
      <c r="L83" s="1">
        <f t="shared" ref="L83:L95" si="62">+D83-H83</f>
        <v>203.80999999999995</v>
      </c>
      <c r="M83" s="1"/>
      <c r="N83" s="5">
        <f t="shared" ref="N83:N95" si="63">IF(H83=0,0,L83/H83)</f>
        <v>0.33411475409836056</v>
      </c>
      <c r="O83" s="14"/>
      <c r="P83" s="1">
        <f>SUM(OSRRefP22_15x_0)</f>
        <v>1947</v>
      </c>
      <c r="Q83" s="1"/>
      <c r="R83" s="5">
        <f t="shared" ref="R83:R95" si="64">IF(P$12=0,0,P83/P$12)</f>
        <v>4.5143155275157382E-3</v>
      </c>
      <c r="S83" s="1"/>
      <c r="T83" s="1">
        <f>SUM(OSRRefT22_15x_0)</f>
        <v>2210</v>
      </c>
      <c r="U83" s="1"/>
      <c r="V83" s="5">
        <f t="shared" ref="V83:V95" si="65">IF(T$12=0,0,T83/T$12)</f>
        <v>5.0562016257632916E-3</v>
      </c>
      <c r="W83" s="1"/>
      <c r="X83" s="1">
        <f t="shared" ref="X83:X95" si="66">+P83-T83</f>
        <v>-263</v>
      </c>
      <c r="Y83" s="1"/>
      <c r="Z83" s="5">
        <f t="shared" ref="Z83:Z95" si="67">IF(T83=0,0,X83/T83)</f>
        <v>-0.11900452488687782</v>
      </c>
    </row>
    <row r="84" spans="1:26" s="24" customFormat="1" hidden="1" outlineLevel="2" x14ac:dyDescent="0.25">
      <c r="A84" s="27"/>
      <c r="B84" s="11" t="str">
        <f>CONCATENATE("          ", "6275", " - ", "SUBSCRIPTIONS")</f>
        <v xml:space="preserve">          6275 - SUBSCRIPTIONS</v>
      </c>
      <c r="C84" s="11"/>
      <c r="D84" s="7">
        <v>813.81</v>
      </c>
      <c r="E84" s="2"/>
      <c r="F84" s="6">
        <f t="shared" si="60"/>
        <v>3.943449172142669E-3</v>
      </c>
      <c r="G84" s="2"/>
      <c r="H84" s="7">
        <v>610</v>
      </c>
      <c r="I84" s="2"/>
      <c r="J84" s="6">
        <f t="shared" si="61"/>
        <v>2.9077804578085823E-3</v>
      </c>
      <c r="K84" s="2"/>
      <c r="L84" s="7">
        <f t="shared" si="62"/>
        <v>203.80999999999995</v>
      </c>
      <c r="M84" s="2"/>
      <c r="N84" s="6">
        <f t="shared" si="63"/>
        <v>0.33411475409836056</v>
      </c>
      <c r="O84" s="11"/>
      <c r="P84" s="7">
        <v>1947</v>
      </c>
      <c r="Q84" s="2"/>
      <c r="R84" s="6">
        <f t="shared" si="64"/>
        <v>4.5143155275157382E-3</v>
      </c>
      <c r="S84" s="2"/>
      <c r="T84" s="7">
        <v>2210</v>
      </c>
      <c r="U84" s="2"/>
      <c r="V84" s="6">
        <f t="shared" si="65"/>
        <v>5.0562016257632916E-3</v>
      </c>
      <c r="W84" s="2"/>
      <c r="X84" s="7">
        <f t="shared" si="66"/>
        <v>-263</v>
      </c>
      <c r="Y84" s="2"/>
      <c r="Z84" s="6">
        <f t="shared" si="67"/>
        <v>-0.11900452488687782</v>
      </c>
    </row>
    <row r="85" spans="1:26" s="28" customFormat="1" outlineLevel="1" collapsed="1" x14ac:dyDescent="0.25">
      <c r="A85" s="29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SUM(OSRRefD22_16x_0)</f>
        <v>9149.19</v>
      </c>
      <c r="E85" s="1"/>
      <c r="F85" s="5">
        <f t="shared" si="60"/>
        <v>4.4333893330477617E-2</v>
      </c>
      <c r="G85" s="1"/>
      <c r="H85" s="1">
        <f>SUM(OSRRefH22_16x_0)</f>
        <v>4725</v>
      </c>
      <c r="I85" s="1"/>
      <c r="J85" s="5">
        <f t="shared" si="61"/>
        <v>2.2523381414992705E-2</v>
      </c>
      <c r="K85" s="1"/>
      <c r="L85" s="1">
        <f t="shared" si="62"/>
        <v>4424.1900000000005</v>
      </c>
      <c r="M85" s="1"/>
      <c r="N85" s="5">
        <f t="shared" si="63"/>
        <v>0.93633650793650802</v>
      </c>
      <c r="O85" s="14"/>
      <c r="P85" s="1">
        <f>SUM(OSRRefP22_16x_0)</f>
        <v>18091.14</v>
      </c>
      <c r="Q85" s="1"/>
      <c r="R85" s="5">
        <f t="shared" si="64"/>
        <v>4.1946129539014422E-2</v>
      </c>
      <c r="S85" s="1"/>
      <c r="T85" s="1">
        <f>SUM(OSRRefT22_16x_0)</f>
        <v>27698</v>
      </c>
      <c r="U85" s="1"/>
      <c r="V85" s="5">
        <f t="shared" si="65"/>
        <v>6.3369535126874058E-2</v>
      </c>
      <c r="W85" s="1"/>
      <c r="X85" s="1">
        <f t="shared" si="66"/>
        <v>-9606.86</v>
      </c>
      <c r="Y85" s="1"/>
      <c r="Z85" s="5">
        <f t="shared" si="67"/>
        <v>-0.34684309336414182</v>
      </c>
    </row>
    <row r="86" spans="1:26" s="24" customFormat="1" hidden="1" outlineLevel="2" x14ac:dyDescent="0.25">
      <c r="A86" s="27"/>
      <c r="B86" s="11" t="str">
        <f>CONCATENATE("          ", "6234", " - ", "EXPENDABLE SUPPLIES &amp; EQUIPMEN")</f>
        <v xml:space="preserve">          6234 - EXPENDABLE SUPPLIES &amp; EQUIPMEN</v>
      </c>
      <c r="C86" s="11"/>
      <c r="D86" s="7">
        <v>1194.8900000000001</v>
      </c>
      <c r="E86" s="2"/>
      <c r="F86" s="6">
        <f t="shared" si="60"/>
        <v>5.7900345059676761E-3</v>
      </c>
      <c r="G86" s="2"/>
      <c r="H86" s="7">
        <v>50</v>
      </c>
      <c r="I86" s="2"/>
      <c r="J86" s="6">
        <f t="shared" si="61"/>
        <v>2.3834266047611331E-4</v>
      </c>
      <c r="K86" s="2"/>
      <c r="L86" s="7">
        <f t="shared" si="62"/>
        <v>1144.8900000000001</v>
      </c>
      <c r="M86" s="2"/>
      <c r="N86" s="6">
        <f t="shared" si="63"/>
        <v>22.897800000000004</v>
      </c>
      <c r="O86" s="11"/>
      <c r="P86" s="7">
        <v>1194.8900000000001</v>
      </c>
      <c r="Q86" s="2"/>
      <c r="R86" s="6">
        <f t="shared" si="64"/>
        <v>2.7704727687073863E-3</v>
      </c>
      <c r="S86" s="2"/>
      <c r="T86" s="7">
        <v>300</v>
      </c>
      <c r="U86" s="2"/>
      <c r="V86" s="6">
        <f t="shared" si="65"/>
        <v>6.8636221164207587E-4</v>
      </c>
      <c r="W86" s="2"/>
      <c r="X86" s="7">
        <f t="shared" si="66"/>
        <v>894.8900000000001</v>
      </c>
      <c r="Y86" s="2"/>
      <c r="Z86" s="6">
        <f t="shared" si="67"/>
        <v>2.982966666666667</v>
      </c>
    </row>
    <row r="87" spans="1:26" s="24" customFormat="1" hidden="1" outlineLevel="2" x14ac:dyDescent="0.25">
      <c r="A87" s="27"/>
      <c r="B87" s="11" t="str">
        <f>CONCATENATE("          ", "6235", " - ", "COVID-19 EXPENSES")</f>
        <v xml:space="preserve">          6235 - COVID-19 EXPENSES</v>
      </c>
      <c r="C87" s="11"/>
      <c r="D87" s="7"/>
      <c r="E87" s="2"/>
      <c r="F87" s="6">
        <f t="shared" si="60"/>
        <v>0</v>
      </c>
      <c r="G87" s="2"/>
      <c r="H87" s="7">
        <v>250</v>
      </c>
      <c r="I87" s="2"/>
      <c r="J87" s="6">
        <f t="shared" si="61"/>
        <v>1.1917133023805664E-3</v>
      </c>
      <c r="K87" s="2"/>
      <c r="L87" s="7">
        <f t="shared" si="62"/>
        <v>-250</v>
      </c>
      <c r="M87" s="2"/>
      <c r="N87" s="6">
        <f t="shared" si="63"/>
        <v>-1</v>
      </c>
      <c r="O87" s="11"/>
      <c r="P87" s="7">
        <v>193.5</v>
      </c>
      <c r="Q87" s="2"/>
      <c r="R87" s="6">
        <f t="shared" si="64"/>
        <v>4.4864923193338235E-4</v>
      </c>
      <c r="S87" s="2"/>
      <c r="T87" s="7">
        <v>1250</v>
      </c>
      <c r="U87" s="2"/>
      <c r="V87" s="6">
        <f t="shared" si="65"/>
        <v>2.8598425485086491E-3</v>
      </c>
      <c r="W87" s="2"/>
      <c r="X87" s="7">
        <f t="shared" si="66"/>
        <v>-1056.5</v>
      </c>
      <c r="Y87" s="2"/>
      <c r="Z87" s="6">
        <f t="shared" si="67"/>
        <v>-0.84519999999999995</v>
      </c>
    </row>
    <row r="88" spans="1:26" s="24" customFormat="1" hidden="1" outlineLevel="2" x14ac:dyDescent="0.25">
      <c r="A88" s="27"/>
      <c r="B88" s="11" t="str">
        <f>CONCATENATE("          ", "6237", " - ", "JANITORIAL SUPPLIES")</f>
        <v xml:space="preserve">          6237 - JANITORIAL SUPPLIES</v>
      </c>
      <c r="C88" s="11"/>
      <c r="D88" s="7">
        <v>804.12</v>
      </c>
      <c r="E88" s="2"/>
      <c r="F88" s="6">
        <f t="shared" si="60"/>
        <v>3.896494695694773E-3</v>
      </c>
      <c r="G88" s="2"/>
      <c r="H88" s="7">
        <v>275</v>
      </c>
      <c r="I88" s="2"/>
      <c r="J88" s="6">
        <f t="shared" si="61"/>
        <v>1.3108846326186231E-3</v>
      </c>
      <c r="K88" s="2"/>
      <c r="L88" s="7">
        <f t="shared" si="62"/>
        <v>529.12</v>
      </c>
      <c r="M88" s="2"/>
      <c r="N88" s="6">
        <f t="shared" si="63"/>
        <v>1.9240727272727274</v>
      </c>
      <c r="O88" s="11"/>
      <c r="P88" s="7">
        <v>4976.03</v>
      </c>
      <c r="Q88" s="2"/>
      <c r="R88" s="6">
        <f t="shared" si="64"/>
        <v>1.153742655078795E-2</v>
      </c>
      <c r="S88" s="2"/>
      <c r="T88" s="7">
        <v>2478</v>
      </c>
      <c r="U88" s="2"/>
      <c r="V88" s="6">
        <f t="shared" si="65"/>
        <v>5.6693518681635467E-3</v>
      </c>
      <c r="W88" s="2"/>
      <c r="X88" s="7">
        <f t="shared" si="66"/>
        <v>2498.0299999999997</v>
      </c>
      <c r="Y88" s="2"/>
      <c r="Z88" s="6">
        <f t="shared" si="67"/>
        <v>1.0080831315577077</v>
      </c>
    </row>
    <row r="89" spans="1:26" s="24" customFormat="1" hidden="1" outlineLevel="2" x14ac:dyDescent="0.25">
      <c r="A89" s="27"/>
      <c r="B89" s="11" t="str">
        <f>CONCATENATE("          ", "6239", " - ", "KITCHEN SUPPLIES")</f>
        <v xml:space="preserve">          6239 - KITCHEN SUPPLIES</v>
      </c>
      <c r="C89" s="11"/>
      <c r="D89" s="7">
        <v>920.86</v>
      </c>
      <c r="E89" s="2"/>
      <c r="F89" s="6">
        <f t="shared" si="60"/>
        <v>4.4621774181434221E-3</v>
      </c>
      <c r="G89" s="2"/>
      <c r="H89" s="7"/>
      <c r="I89" s="2"/>
      <c r="J89" s="6">
        <f t="shared" si="61"/>
        <v>0</v>
      </c>
      <c r="K89" s="2"/>
      <c r="L89" s="7">
        <f t="shared" si="62"/>
        <v>920.86</v>
      </c>
      <c r="M89" s="2"/>
      <c r="N89" s="6">
        <f t="shared" si="63"/>
        <v>0</v>
      </c>
      <c r="O89" s="11"/>
      <c r="P89" s="7">
        <v>1992.05</v>
      </c>
      <c r="Q89" s="2"/>
      <c r="R89" s="6">
        <f t="shared" si="64"/>
        <v>4.6187684882320118E-3</v>
      </c>
      <c r="S89" s="2"/>
      <c r="T89" s="7">
        <v>5249</v>
      </c>
      <c r="U89" s="2"/>
      <c r="V89" s="6">
        <f t="shared" si="65"/>
        <v>1.2009050829697521E-2</v>
      </c>
      <c r="W89" s="2"/>
      <c r="X89" s="7">
        <f t="shared" si="66"/>
        <v>-3256.95</v>
      </c>
      <c r="Y89" s="2"/>
      <c r="Z89" s="6">
        <f t="shared" si="67"/>
        <v>-0.62048961706991801</v>
      </c>
    </row>
    <row r="90" spans="1:26" s="24" customFormat="1" hidden="1" outlineLevel="2" x14ac:dyDescent="0.25">
      <c r="A90" s="27"/>
      <c r="B90" s="11" t="str">
        <f>CONCATENATE("          ", "6241", " - ", "OFFICE EXPENSE")</f>
        <v xml:space="preserve">          6241 - OFFICE EXPENSE</v>
      </c>
      <c r="C90" s="11"/>
      <c r="D90" s="7">
        <v>4156.76</v>
      </c>
      <c r="E90" s="2"/>
      <c r="F90" s="6">
        <f t="shared" si="60"/>
        <v>2.0142258980346474E-2</v>
      </c>
      <c r="G90" s="2"/>
      <c r="H90" s="7">
        <v>50</v>
      </c>
      <c r="I90" s="2"/>
      <c r="J90" s="6">
        <f t="shared" si="61"/>
        <v>2.3834266047611331E-4</v>
      </c>
      <c r="K90" s="2"/>
      <c r="L90" s="7">
        <f t="shared" si="62"/>
        <v>4106.76</v>
      </c>
      <c r="M90" s="2"/>
      <c r="N90" s="6">
        <f t="shared" si="63"/>
        <v>82.135199999999998</v>
      </c>
      <c r="O90" s="11"/>
      <c r="P90" s="7">
        <v>6353.36</v>
      </c>
      <c r="Q90" s="2"/>
      <c r="R90" s="6">
        <f t="shared" si="64"/>
        <v>1.473090482788772E-2</v>
      </c>
      <c r="S90" s="2"/>
      <c r="T90" s="7">
        <v>2927</v>
      </c>
      <c r="U90" s="2"/>
      <c r="V90" s="6">
        <f t="shared" si="65"/>
        <v>6.696607311587853E-3</v>
      </c>
      <c r="W90" s="2"/>
      <c r="X90" s="7">
        <f t="shared" si="66"/>
        <v>3426.3599999999997</v>
      </c>
      <c r="Y90" s="2"/>
      <c r="Z90" s="6">
        <f t="shared" si="67"/>
        <v>1.1706047147249743</v>
      </c>
    </row>
    <row r="91" spans="1:26" s="24" customFormat="1" hidden="1" outlineLevel="2" x14ac:dyDescent="0.25">
      <c r="A91" s="27"/>
      <c r="B91" s="11" t="str">
        <f>CONCATENATE("          ", "6243", " - ", "PAPER SUPPLIES")</f>
        <v xml:space="preserve">          6243 - PAPER SUPPLIES</v>
      </c>
      <c r="C91" s="11"/>
      <c r="D91" s="7">
        <v>648.79999999999995</v>
      </c>
      <c r="E91" s="2"/>
      <c r="F91" s="6">
        <f t="shared" si="60"/>
        <v>3.1438662868312796E-3</v>
      </c>
      <c r="G91" s="2"/>
      <c r="H91" s="7">
        <v>900</v>
      </c>
      <c r="I91" s="2"/>
      <c r="J91" s="6">
        <f t="shared" si="61"/>
        <v>4.2901678885700397E-3</v>
      </c>
      <c r="K91" s="2"/>
      <c r="L91" s="7">
        <f t="shared" si="62"/>
        <v>-251.20000000000005</v>
      </c>
      <c r="M91" s="2"/>
      <c r="N91" s="6">
        <f t="shared" si="63"/>
        <v>-0.27911111111111114</v>
      </c>
      <c r="O91" s="11"/>
      <c r="P91" s="7">
        <v>1185.5899999999999</v>
      </c>
      <c r="Q91" s="2"/>
      <c r="R91" s="6">
        <f t="shared" si="64"/>
        <v>2.7489097823664016E-3</v>
      </c>
      <c r="S91" s="2"/>
      <c r="T91" s="7">
        <v>4133</v>
      </c>
      <c r="U91" s="2"/>
      <c r="V91" s="6">
        <f t="shared" si="65"/>
        <v>9.4557834023889977E-3</v>
      </c>
      <c r="W91" s="2"/>
      <c r="X91" s="7">
        <f t="shared" si="66"/>
        <v>-2947.41</v>
      </c>
      <c r="Y91" s="2"/>
      <c r="Z91" s="6">
        <f t="shared" si="67"/>
        <v>-0.71314057585289137</v>
      </c>
    </row>
    <row r="92" spans="1:26" s="24" customFormat="1" hidden="1" outlineLevel="2" x14ac:dyDescent="0.25">
      <c r="A92" s="27"/>
      <c r="B92" s="11" t="str">
        <f>CONCATENATE("          ", "6244", " - ", "SAFETY SUPPLY EXPENSE")</f>
        <v xml:space="preserve">          6244 - SAFETY SUPPLY EXPENSE</v>
      </c>
      <c r="C92" s="11"/>
      <c r="D92" s="7"/>
      <c r="E92" s="2"/>
      <c r="F92" s="6">
        <f t="shared" si="60"/>
        <v>0</v>
      </c>
      <c r="G92" s="2"/>
      <c r="H92" s="7"/>
      <c r="I92" s="2"/>
      <c r="J92" s="6">
        <f t="shared" si="61"/>
        <v>0</v>
      </c>
      <c r="K92" s="2"/>
      <c r="L92" s="7">
        <f t="shared" si="62"/>
        <v>0</v>
      </c>
      <c r="M92" s="2"/>
      <c r="N92" s="6">
        <f t="shared" si="63"/>
        <v>0</v>
      </c>
      <c r="O92" s="11"/>
      <c r="P92" s="7"/>
      <c r="Q92" s="2"/>
      <c r="R92" s="6">
        <f t="shared" si="64"/>
        <v>0</v>
      </c>
      <c r="S92" s="2"/>
      <c r="T92" s="7">
        <v>50</v>
      </c>
      <c r="U92" s="2"/>
      <c r="V92" s="6">
        <f t="shared" si="65"/>
        <v>1.1439370194034598E-4</v>
      </c>
      <c r="W92" s="2"/>
      <c r="X92" s="7">
        <f t="shared" si="66"/>
        <v>-50</v>
      </c>
      <c r="Y92" s="2"/>
      <c r="Z92" s="6">
        <f t="shared" si="67"/>
        <v>-1</v>
      </c>
    </row>
    <row r="93" spans="1:26" s="24" customFormat="1" hidden="1" outlineLevel="2" x14ac:dyDescent="0.25">
      <c r="A93" s="27"/>
      <c r="B93" s="11" t="str">
        <f>CONCATENATE("          ", "6245", " - ", "PRINTING")</f>
        <v xml:space="preserve">          6245 - PRINTING</v>
      </c>
      <c r="C93" s="11"/>
      <c r="D93" s="7">
        <v>1071</v>
      </c>
      <c r="E93" s="2"/>
      <c r="F93" s="6">
        <f t="shared" si="60"/>
        <v>5.1897052916095882E-3</v>
      </c>
      <c r="G93" s="2"/>
      <c r="H93" s="7">
        <v>100</v>
      </c>
      <c r="I93" s="2"/>
      <c r="J93" s="6">
        <f t="shared" si="61"/>
        <v>4.7668532095222662E-4</v>
      </c>
      <c r="K93" s="2"/>
      <c r="L93" s="7">
        <f t="shared" si="62"/>
        <v>971</v>
      </c>
      <c r="M93" s="2"/>
      <c r="N93" s="6">
        <f t="shared" si="63"/>
        <v>9.7100000000000009</v>
      </c>
      <c r="O93" s="11"/>
      <c r="P93" s="7">
        <v>1071</v>
      </c>
      <c r="Q93" s="2"/>
      <c r="R93" s="6">
        <f t="shared" si="64"/>
        <v>2.48322133023593E-3</v>
      </c>
      <c r="S93" s="2"/>
      <c r="T93" s="7">
        <v>900</v>
      </c>
      <c r="U93" s="2"/>
      <c r="V93" s="6">
        <f t="shared" si="65"/>
        <v>2.0590866349262274E-3</v>
      </c>
      <c r="W93" s="2"/>
      <c r="X93" s="7">
        <f t="shared" si="66"/>
        <v>171</v>
      </c>
      <c r="Y93" s="2"/>
      <c r="Z93" s="6">
        <f t="shared" si="67"/>
        <v>0.19</v>
      </c>
    </row>
    <row r="94" spans="1:26" s="24" customFormat="1" hidden="1" outlineLevel="2" x14ac:dyDescent="0.25">
      <c r="A94" s="27"/>
      <c r="B94" s="11" t="str">
        <f>CONCATENATE("          ", "6247", " - ", "STORE SUPPLIES")</f>
        <v xml:space="preserve">          6247 - STORE SUPPLIES</v>
      </c>
      <c r="C94" s="11"/>
      <c r="D94" s="7">
        <v>352.76</v>
      </c>
      <c r="E94" s="2"/>
      <c r="F94" s="6">
        <f t="shared" si="60"/>
        <v>1.7093561518844054E-3</v>
      </c>
      <c r="G94" s="2"/>
      <c r="H94" s="7">
        <v>3100</v>
      </c>
      <c r="I94" s="2"/>
      <c r="J94" s="6">
        <f t="shared" si="61"/>
        <v>1.4777244949519024E-2</v>
      </c>
      <c r="K94" s="2"/>
      <c r="L94" s="7">
        <f t="shared" si="62"/>
        <v>-2747.24</v>
      </c>
      <c r="M94" s="2"/>
      <c r="N94" s="6">
        <f t="shared" si="63"/>
        <v>-0.88620645161290312</v>
      </c>
      <c r="O94" s="11"/>
      <c r="P94" s="7">
        <v>1124.72</v>
      </c>
      <c r="Q94" s="2"/>
      <c r="R94" s="6">
        <f t="shared" si="64"/>
        <v>2.6077765588636372E-3</v>
      </c>
      <c r="S94" s="2"/>
      <c r="T94" s="7">
        <v>7811</v>
      </c>
      <c r="U94" s="2"/>
      <c r="V94" s="6">
        <f t="shared" si="65"/>
        <v>1.7870584117120846E-2</v>
      </c>
      <c r="W94" s="2"/>
      <c r="X94" s="7">
        <f t="shared" si="66"/>
        <v>-6686.28</v>
      </c>
      <c r="Y94" s="2"/>
      <c r="Z94" s="6">
        <f t="shared" si="67"/>
        <v>-0.85600819357316604</v>
      </c>
    </row>
    <row r="95" spans="1:26" s="24" customFormat="1" hidden="1" outlineLevel="2" x14ac:dyDescent="0.25">
      <c r="A95" s="27"/>
      <c r="B95" s="11" t="str">
        <f>CONCATENATE("          ", "6248", " - ", "UNIFORMS")</f>
        <v xml:space="preserve">          6248 - UNIFORMS</v>
      </c>
      <c r="C95" s="11"/>
      <c r="D95" s="7"/>
      <c r="E95" s="2"/>
      <c r="F95" s="6">
        <f t="shared" si="60"/>
        <v>0</v>
      </c>
      <c r="G95" s="2"/>
      <c r="H95" s="7"/>
      <c r="I95" s="2"/>
      <c r="J95" s="6">
        <f t="shared" si="61"/>
        <v>0</v>
      </c>
      <c r="K95" s="2"/>
      <c r="L95" s="7">
        <f t="shared" si="62"/>
        <v>0</v>
      </c>
      <c r="M95" s="2"/>
      <c r="N95" s="6">
        <f t="shared" si="63"/>
        <v>0</v>
      </c>
      <c r="O95" s="11"/>
      <c r="P95" s="7"/>
      <c r="Q95" s="2"/>
      <c r="R95" s="6">
        <f t="shared" si="64"/>
        <v>0</v>
      </c>
      <c r="S95" s="2"/>
      <c r="T95" s="7">
        <v>2600</v>
      </c>
      <c r="U95" s="2"/>
      <c r="V95" s="6">
        <f t="shared" si="65"/>
        <v>5.9484725008979904E-3</v>
      </c>
      <c r="W95" s="2"/>
      <c r="X95" s="7">
        <f t="shared" si="66"/>
        <v>-2600</v>
      </c>
      <c r="Y95" s="2"/>
      <c r="Z95" s="6">
        <f t="shared" si="67"/>
        <v>-1</v>
      </c>
    </row>
    <row r="96" spans="1:26" s="28" customFormat="1" outlineLevel="1" collapsed="1" x14ac:dyDescent="0.25">
      <c r="A96" s="29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SUM(OSRRefD22_17x_0)</f>
        <v>842.11</v>
      </c>
      <c r="E96" s="1"/>
      <c r="F96" s="5">
        <f t="shared" ref="F96:F98" si="68">IF(D$12=0,0,D96/D$12)</f>
        <v>4.0805814408191882E-3</v>
      </c>
      <c r="G96" s="1"/>
      <c r="H96" s="1">
        <f>SUM(OSRRefH22_17x_0)</f>
        <v>688</v>
      </c>
      <c r="I96" s="1"/>
      <c r="J96" s="5">
        <f t="shared" ref="J96:J98" si="69">IF(H$12=0,0,H96/H$12)</f>
        <v>3.2795950081513192E-3</v>
      </c>
      <c r="K96" s="1"/>
      <c r="L96" s="1">
        <f t="shared" ref="L96:L98" si="70">+D96-H96</f>
        <v>154.11000000000001</v>
      </c>
      <c r="M96" s="1"/>
      <c r="N96" s="5">
        <f t="shared" ref="N96:N98" si="71">IF(H96=0,0,L96/H96)</f>
        <v>0.22399709302325582</v>
      </c>
      <c r="O96" s="14"/>
      <c r="P96" s="1">
        <f>SUM(OSRRefP22_17x_0)</f>
        <v>3380.39</v>
      </c>
      <c r="Q96" s="1"/>
      <c r="R96" s="5">
        <f t="shared" ref="R96:R98" si="72">IF(P$12=0,0,P96/P$12)</f>
        <v>7.8377745588386893E-3</v>
      </c>
      <c r="S96" s="1"/>
      <c r="T96" s="1">
        <f>SUM(OSRRefT22_17x_0)</f>
        <v>2452</v>
      </c>
      <c r="U96" s="1"/>
      <c r="V96" s="5">
        <f t="shared" ref="V96:V98" si="73">IF(T$12=0,0,T96/T$12)</f>
        <v>5.6098671431545665E-3</v>
      </c>
      <c r="W96" s="1"/>
      <c r="X96" s="1">
        <f t="shared" ref="X96:X98" si="74">+P96-T96</f>
        <v>928.38999999999987</v>
      </c>
      <c r="Y96" s="1"/>
      <c r="Z96" s="5">
        <f t="shared" ref="Z96:Z98" si="75">IF(T96=0,0,X96/T96)</f>
        <v>0.37862561174551379</v>
      </c>
    </row>
    <row r="97" spans="1:26" s="24" customFormat="1" hidden="1" outlineLevel="2" x14ac:dyDescent="0.25">
      <c r="A97" s="27"/>
      <c r="B97" s="11" t="str">
        <f>CONCATENATE("          ", "6303", " - ", "DATA PHONE LINES")</f>
        <v xml:space="preserve">          6303 - DATA PHONE LINES</v>
      </c>
      <c r="C97" s="11"/>
      <c r="D97" s="7"/>
      <c r="E97" s="2"/>
      <c r="F97" s="6">
        <f t="shared" si="68"/>
        <v>0</v>
      </c>
      <c r="G97" s="2"/>
      <c r="H97" s="7">
        <v>185</v>
      </c>
      <c r="I97" s="2"/>
      <c r="J97" s="6">
        <f t="shared" si="69"/>
        <v>8.8186784376161921E-4</v>
      </c>
      <c r="K97" s="2"/>
      <c r="L97" s="7">
        <f t="shared" si="70"/>
        <v>-185</v>
      </c>
      <c r="M97" s="2"/>
      <c r="N97" s="6">
        <f t="shared" si="71"/>
        <v>-1</v>
      </c>
      <c r="O97" s="11"/>
      <c r="P97" s="7"/>
      <c r="Q97" s="2"/>
      <c r="R97" s="6">
        <f t="shared" si="72"/>
        <v>0</v>
      </c>
      <c r="S97" s="2"/>
      <c r="T97" s="7">
        <v>740</v>
      </c>
      <c r="U97" s="2"/>
      <c r="V97" s="6">
        <f t="shared" si="73"/>
        <v>1.6930267887171203E-3</v>
      </c>
      <c r="W97" s="2"/>
      <c r="X97" s="7">
        <f t="shared" si="74"/>
        <v>-740</v>
      </c>
      <c r="Y97" s="2"/>
      <c r="Z97" s="6">
        <f t="shared" si="75"/>
        <v>-1</v>
      </c>
    </row>
    <row r="98" spans="1:26" s="24" customFormat="1" hidden="1" outlineLevel="2" x14ac:dyDescent="0.25">
      <c r="A98" s="27"/>
      <c r="B98" s="11" t="str">
        <f>CONCATENATE("          ", "6309", " - ", "TELEPHONE")</f>
        <v xml:space="preserve">          6309 - TELEPHONE</v>
      </c>
      <c r="C98" s="11"/>
      <c r="D98" s="7">
        <v>842.11</v>
      </c>
      <c r="E98" s="2"/>
      <c r="F98" s="6">
        <f t="shared" si="68"/>
        <v>4.0805814408191882E-3</v>
      </c>
      <c r="G98" s="2"/>
      <c r="H98" s="7">
        <v>503</v>
      </c>
      <c r="I98" s="2"/>
      <c r="J98" s="6">
        <f t="shared" si="69"/>
        <v>2.3977271643896999E-3</v>
      </c>
      <c r="K98" s="2"/>
      <c r="L98" s="7">
        <f t="shared" si="70"/>
        <v>339.11</v>
      </c>
      <c r="M98" s="2"/>
      <c r="N98" s="6">
        <f t="shared" si="71"/>
        <v>0.67417495029821073</v>
      </c>
      <c r="O98" s="11"/>
      <c r="P98" s="7">
        <v>3380.39</v>
      </c>
      <c r="Q98" s="2"/>
      <c r="R98" s="6">
        <f t="shared" si="72"/>
        <v>7.8377745588386893E-3</v>
      </c>
      <c r="S98" s="2"/>
      <c r="T98" s="7">
        <v>1712</v>
      </c>
      <c r="U98" s="2"/>
      <c r="V98" s="6">
        <f t="shared" si="73"/>
        <v>3.916840354437446E-3</v>
      </c>
      <c r="W98" s="2"/>
      <c r="X98" s="7">
        <f t="shared" si="74"/>
        <v>1668.3899999999999</v>
      </c>
      <c r="Y98" s="2"/>
      <c r="Z98" s="6">
        <f t="shared" si="75"/>
        <v>0.97452686915887843</v>
      </c>
    </row>
    <row r="99" spans="1:26" s="28" customFormat="1" outlineLevel="1" collapsed="1" x14ac:dyDescent="0.25">
      <c r="A99" s="29"/>
      <c r="B99" s="14" t="str">
        <f>CONCATENATE("     ","Training                                          ")</f>
        <v xml:space="preserve">     Training                                          </v>
      </c>
      <c r="C99" s="14"/>
      <c r="D99" s="1">
        <f>SUM(OSRRefD22_18x_0)</f>
        <v>0</v>
      </c>
      <c r="E99" s="1"/>
      <c r="F99" s="5">
        <f t="shared" ref="F99:F102" si="76">IF(D$12=0,0,D99/D$12)</f>
        <v>0</v>
      </c>
      <c r="G99" s="1"/>
      <c r="H99" s="1">
        <f>SUM(OSRRefH22_18x_0)</f>
        <v>0</v>
      </c>
      <c r="I99" s="1"/>
      <c r="J99" s="5">
        <f t="shared" ref="J99:J102" si="77">IF(H$12=0,0,H99/H$12)</f>
        <v>0</v>
      </c>
      <c r="K99" s="1"/>
      <c r="L99" s="1">
        <f t="shared" ref="L99:L102" si="78">+D99-H99</f>
        <v>0</v>
      </c>
      <c r="M99" s="1"/>
      <c r="N99" s="5">
        <f t="shared" ref="N99:N102" si="79">IF(H99=0,0,L99/H99)</f>
        <v>0</v>
      </c>
      <c r="O99" s="14"/>
      <c r="P99" s="1">
        <f>SUM(OSRRefP22_18x_0)</f>
        <v>0</v>
      </c>
      <c r="Q99" s="1"/>
      <c r="R99" s="5">
        <f t="shared" ref="R99:R102" si="80">IF(P$12=0,0,P99/P$12)</f>
        <v>0</v>
      </c>
      <c r="S99" s="1"/>
      <c r="T99" s="1">
        <f>SUM(OSRRefT22_18x_0)</f>
        <v>875</v>
      </c>
      <c r="U99" s="1"/>
      <c r="V99" s="5">
        <f t="shared" ref="V99:V102" si="81">IF(T$12=0,0,T99/T$12)</f>
        <v>2.0018897839560543E-3</v>
      </c>
      <c r="W99" s="1"/>
      <c r="X99" s="1">
        <f t="shared" ref="X99:X102" si="82">+P99-T99</f>
        <v>-875</v>
      </c>
      <c r="Y99" s="1"/>
      <c r="Z99" s="5">
        <f t="shared" ref="Z99:Z102" si="83">IF(T99=0,0,X99/T99)</f>
        <v>-1</v>
      </c>
    </row>
    <row r="100" spans="1:26" s="24" customFormat="1" hidden="1" outlineLevel="2" x14ac:dyDescent="0.25">
      <c r="A100" s="27"/>
      <c r="B100" s="11" t="str">
        <f>CONCATENATE("          ", "6376", " - ", "TRAINING")</f>
        <v xml:space="preserve">          6376 - TRAINING</v>
      </c>
      <c r="C100" s="11"/>
      <c r="D100" s="7"/>
      <c r="E100" s="2"/>
      <c r="F100" s="6">
        <f t="shared" si="76"/>
        <v>0</v>
      </c>
      <c r="G100" s="2"/>
      <c r="H100" s="7"/>
      <c r="I100" s="2"/>
      <c r="J100" s="6">
        <f t="shared" si="77"/>
        <v>0</v>
      </c>
      <c r="K100" s="2"/>
      <c r="L100" s="7">
        <f t="shared" si="78"/>
        <v>0</v>
      </c>
      <c r="M100" s="2"/>
      <c r="N100" s="6">
        <f t="shared" si="79"/>
        <v>0</v>
      </c>
      <c r="O100" s="11"/>
      <c r="P100" s="7"/>
      <c r="Q100" s="2"/>
      <c r="R100" s="6">
        <f t="shared" si="80"/>
        <v>0</v>
      </c>
      <c r="S100" s="2"/>
      <c r="T100" s="7">
        <v>875</v>
      </c>
      <c r="U100" s="2"/>
      <c r="V100" s="6">
        <f t="shared" si="81"/>
        <v>2.0018897839560543E-3</v>
      </c>
      <c r="W100" s="2"/>
      <c r="X100" s="7">
        <f t="shared" si="82"/>
        <v>-875</v>
      </c>
      <c r="Y100" s="2"/>
      <c r="Z100" s="6">
        <f t="shared" si="83"/>
        <v>-1</v>
      </c>
    </row>
    <row r="101" spans="1:26" s="28" customFormat="1" outlineLevel="1" collapsed="1" x14ac:dyDescent="0.25">
      <c r="A101" s="29"/>
      <c r="B101" s="14" t="str">
        <f>CONCATENATE("     ","Utilities                                         ")</f>
        <v xml:space="preserve">     Utilities                                         </v>
      </c>
      <c r="C101" s="14"/>
      <c r="D101" s="1">
        <f>SUM(OSRRefD22_19x_0)</f>
        <v>5850</v>
      </c>
      <c r="E101" s="1"/>
      <c r="F101" s="5">
        <f t="shared" si="76"/>
        <v>2.8347129744085986E-2</v>
      </c>
      <c r="G101" s="1"/>
      <c r="H101" s="1">
        <f>SUM(OSRRefH22_19x_0)</f>
        <v>8667</v>
      </c>
      <c r="I101" s="1"/>
      <c r="J101" s="5">
        <f t="shared" si="77"/>
        <v>4.1314316766929482E-2</v>
      </c>
      <c r="K101" s="1"/>
      <c r="L101" s="1">
        <f t="shared" si="78"/>
        <v>-2817</v>
      </c>
      <c r="M101" s="1"/>
      <c r="N101" s="5">
        <f t="shared" si="79"/>
        <v>-0.32502596053997923</v>
      </c>
      <c r="O101" s="14"/>
      <c r="P101" s="1">
        <f>SUM(OSRRefP22_19x_0)</f>
        <v>30600</v>
      </c>
      <c r="Q101" s="1"/>
      <c r="R101" s="5">
        <f t="shared" si="80"/>
        <v>7.0949180863883715E-2</v>
      </c>
      <c r="S101" s="1"/>
      <c r="T101" s="1">
        <f>SUM(OSRRefT22_19x_0)</f>
        <v>34668</v>
      </c>
      <c r="U101" s="1"/>
      <c r="V101" s="5">
        <f t="shared" si="81"/>
        <v>7.9316017177358283E-2</v>
      </c>
      <c r="W101" s="1"/>
      <c r="X101" s="1">
        <f t="shared" si="82"/>
        <v>-4068</v>
      </c>
      <c r="Y101" s="1"/>
      <c r="Z101" s="5">
        <f t="shared" si="83"/>
        <v>-0.11734164070612668</v>
      </c>
    </row>
    <row r="102" spans="1:26" s="24" customFormat="1" hidden="1" outlineLevel="2" x14ac:dyDescent="0.25">
      <c r="A102" s="27"/>
      <c r="B102" s="11" t="str">
        <f>CONCATENATE("          ", "6274", " - ", "UTILITIES")</f>
        <v xml:space="preserve">          6274 - UTILITIES</v>
      </c>
      <c r="C102" s="11"/>
      <c r="D102" s="7">
        <v>5850</v>
      </c>
      <c r="E102" s="2"/>
      <c r="F102" s="6">
        <f t="shared" si="76"/>
        <v>2.8347129744085986E-2</v>
      </c>
      <c r="G102" s="2"/>
      <c r="H102" s="7">
        <v>8667</v>
      </c>
      <c r="I102" s="2"/>
      <c r="J102" s="6">
        <f t="shared" si="77"/>
        <v>4.1314316766929482E-2</v>
      </c>
      <c r="K102" s="2"/>
      <c r="L102" s="7">
        <f t="shared" si="78"/>
        <v>-2817</v>
      </c>
      <c r="M102" s="2"/>
      <c r="N102" s="6">
        <f t="shared" si="79"/>
        <v>-0.32502596053997923</v>
      </c>
      <c r="O102" s="11"/>
      <c r="P102" s="7">
        <v>30600</v>
      </c>
      <c r="Q102" s="2"/>
      <c r="R102" s="6">
        <f t="shared" si="80"/>
        <v>7.0949180863883715E-2</v>
      </c>
      <c r="S102" s="2"/>
      <c r="T102" s="7">
        <v>34668</v>
      </c>
      <c r="U102" s="2"/>
      <c r="V102" s="6">
        <f t="shared" si="81"/>
        <v>7.9316017177358283E-2</v>
      </c>
      <c r="W102" s="2"/>
      <c r="X102" s="7">
        <f t="shared" si="82"/>
        <v>-4068</v>
      </c>
      <c r="Y102" s="2"/>
      <c r="Z102" s="6">
        <f t="shared" si="83"/>
        <v>-0.11734164070612668</v>
      </c>
    </row>
    <row r="103" spans="1:26" s="60" customFormat="1" x14ac:dyDescent="0.25">
      <c r="A103" s="36"/>
      <c r="B103" s="36"/>
      <c r="C103" s="36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6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collapsed="1" x14ac:dyDescent="0.25">
      <c r="A104" s="10"/>
      <c r="B104" s="25" t="s">
        <v>293</v>
      </c>
      <c r="C104" s="10"/>
      <c r="D104" s="4">
        <f>SUM(OSRRefD25x_0)</f>
        <v>6812.67</v>
      </c>
      <c r="E104" s="4"/>
      <c r="F104" s="12">
        <f t="shared" ref="F104:F107" si="84">IF(D$12=0,0,D104/D$12)</f>
        <v>3.3011904340793548E-2</v>
      </c>
      <c r="G104" s="4"/>
      <c r="H104" s="4">
        <f>SUM(OSRRefH25x_0)</f>
        <v>250</v>
      </c>
      <c r="I104" s="4"/>
      <c r="J104" s="12">
        <f t="shared" ref="J104:J107" si="85">IF(H$12=0,0,H104/H$12)</f>
        <v>1.1917133023805664E-3</v>
      </c>
      <c r="K104" s="4"/>
      <c r="L104" s="4">
        <f t="shared" ref="L104:L107" si="86">+D104-H104</f>
        <v>6562.67</v>
      </c>
      <c r="M104" s="4"/>
      <c r="N104" s="12">
        <f t="shared" ref="N104:N107" si="87">IF(H104=0,0,L104/H104)</f>
        <v>26.250679999999999</v>
      </c>
      <c r="O104" s="10"/>
      <c r="P104" s="4">
        <f>SUM(OSRRefP25x_0)</f>
        <v>24006.720000000001</v>
      </c>
      <c r="Q104" s="4"/>
      <c r="R104" s="12">
        <f t="shared" ref="R104:R107" si="88">IF(P$12=0,0,P104/P$12)</f>
        <v>5.5661997360412246E-2</v>
      </c>
      <c r="S104" s="4"/>
      <c r="T104" s="4">
        <f>SUM(OSRRefT25x_0)</f>
        <v>500</v>
      </c>
      <c r="U104" s="4"/>
      <c r="V104" s="12">
        <f t="shared" ref="V104:V107" si="89">IF(T$12=0,0,T104/T$12)</f>
        <v>1.1439370194034598E-3</v>
      </c>
      <c r="W104" s="4"/>
      <c r="X104" s="4">
        <f t="shared" ref="X104:X107" si="90">+P104-T104</f>
        <v>23506.720000000001</v>
      </c>
      <c r="Y104" s="4"/>
      <c r="Z104" s="12">
        <f t="shared" ref="Z104:Z107" si="91">IF(T104=0,0,X104/T104)</f>
        <v>47.013440000000003</v>
      </c>
    </row>
    <row r="105" spans="1:26" s="24" customFormat="1" hidden="1" outlineLevel="1" x14ac:dyDescent="0.25">
      <c r="A105" s="44"/>
      <c r="B105" s="11" t="str">
        <f>CONCATENATE("          ", "9150", " - ", "MISC. INCOME")</f>
        <v xml:space="preserve">          9150 - MISC. INCOME</v>
      </c>
      <c r="C105" s="11"/>
      <c r="D105" s="2">
        <f>--6812.67</f>
        <v>6812.67</v>
      </c>
      <c r="E105" s="2"/>
      <c r="F105" s="19">
        <f t="shared" si="84"/>
        <v>3.3011904340793548E-2</v>
      </c>
      <c r="G105" s="2"/>
      <c r="H105" s="2">
        <v>250</v>
      </c>
      <c r="I105" s="2"/>
      <c r="J105" s="19">
        <f t="shared" si="85"/>
        <v>1.1917133023805664E-3</v>
      </c>
      <c r="K105" s="2"/>
      <c r="L105" s="2">
        <f t="shared" si="86"/>
        <v>6562.67</v>
      </c>
      <c r="M105" s="2"/>
      <c r="N105" s="19">
        <f t="shared" si="87"/>
        <v>26.250679999999999</v>
      </c>
      <c r="O105" s="11"/>
      <c r="P105" s="2">
        <f>--24006.72</f>
        <v>24006.720000000001</v>
      </c>
      <c r="Q105" s="2"/>
      <c r="R105" s="19">
        <f t="shared" si="88"/>
        <v>5.5661997360412246E-2</v>
      </c>
      <c r="S105" s="2"/>
      <c r="T105" s="2">
        <v>500</v>
      </c>
      <c r="U105" s="2"/>
      <c r="V105" s="19">
        <f t="shared" si="89"/>
        <v>1.1439370194034598E-3</v>
      </c>
      <c r="W105" s="2"/>
      <c r="X105" s="2">
        <f t="shared" si="90"/>
        <v>23506.720000000001</v>
      </c>
      <c r="Y105" s="2"/>
      <c r="Z105" s="19">
        <f t="shared" si="91"/>
        <v>47.013440000000003</v>
      </c>
    </row>
    <row r="106" spans="1:26" s="24" customFormat="1" hidden="1" outlineLevel="1" x14ac:dyDescent="0.25">
      <c r="A106" s="44"/>
      <c r="B106" s="11" t="str">
        <f>CONCATENATE("          ", "9160", " - ", "MISC. INCOME")</f>
        <v xml:space="preserve">          9160 - MISC. INCOME</v>
      </c>
      <c r="C106" s="11"/>
      <c r="D106" s="2">
        <f t="shared" ref="D106:D107" si="92">0</f>
        <v>0</v>
      </c>
      <c r="E106" s="2"/>
      <c r="F106" s="19">
        <f t="shared" si="84"/>
        <v>0</v>
      </c>
      <c r="G106" s="2"/>
      <c r="H106" s="2"/>
      <c r="I106" s="2"/>
      <c r="J106" s="19">
        <f t="shared" si="85"/>
        <v>0</v>
      </c>
      <c r="K106" s="2"/>
      <c r="L106" s="2">
        <f t="shared" si="86"/>
        <v>0</v>
      </c>
      <c r="M106" s="2"/>
      <c r="N106" s="19">
        <f t="shared" si="87"/>
        <v>0</v>
      </c>
      <c r="O106" s="11"/>
      <c r="P106" s="2">
        <f t="shared" ref="P106:P107" si="93">0</f>
        <v>0</v>
      </c>
      <c r="Q106" s="2"/>
      <c r="R106" s="19">
        <f t="shared" si="88"/>
        <v>0</v>
      </c>
      <c r="S106" s="2"/>
      <c r="T106" s="2"/>
      <c r="U106" s="2"/>
      <c r="V106" s="19">
        <f t="shared" si="89"/>
        <v>0</v>
      </c>
      <c r="W106" s="2"/>
      <c r="X106" s="2">
        <f t="shared" si="90"/>
        <v>0</v>
      </c>
      <c r="Y106" s="2"/>
      <c r="Z106" s="19">
        <f t="shared" si="91"/>
        <v>0</v>
      </c>
    </row>
    <row r="107" spans="1:26" s="24" customFormat="1" hidden="1" outlineLevel="1" x14ac:dyDescent="0.25">
      <c r="A107" s="44"/>
      <c r="B107" s="11" t="str">
        <f>CONCATENATE("          ", "9165", " - ", "OTHER INCOME")</f>
        <v xml:space="preserve">          9165 - OTHER INCOME</v>
      </c>
      <c r="C107" s="11"/>
      <c r="D107" s="2">
        <f t="shared" si="92"/>
        <v>0</v>
      </c>
      <c r="E107" s="2"/>
      <c r="F107" s="19">
        <f t="shared" si="84"/>
        <v>0</v>
      </c>
      <c r="G107" s="2"/>
      <c r="H107" s="2"/>
      <c r="I107" s="2"/>
      <c r="J107" s="19">
        <f t="shared" si="85"/>
        <v>0</v>
      </c>
      <c r="K107" s="2"/>
      <c r="L107" s="2">
        <f t="shared" si="86"/>
        <v>0</v>
      </c>
      <c r="M107" s="2"/>
      <c r="N107" s="19">
        <f t="shared" si="87"/>
        <v>0</v>
      </c>
      <c r="O107" s="11"/>
      <c r="P107" s="2">
        <f t="shared" si="93"/>
        <v>0</v>
      </c>
      <c r="Q107" s="2"/>
      <c r="R107" s="19">
        <f t="shared" si="88"/>
        <v>0</v>
      </c>
      <c r="S107" s="2"/>
      <c r="T107" s="2"/>
      <c r="U107" s="2"/>
      <c r="V107" s="19">
        <f t="shared" si="89"/>
        <v>0</v>
      </c>
      <c r="W107" s="2"/>
      <c r="X107" s="2">
        <f t="shared" si="90"/>
        <v>0</v>
      </c>
      <c r="Y107" s="2"/>
      <c r="Z107" s="19">
        <f t="shared" si="91"/>
        <v>0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10"/>
      <c r="B109" s="26" t="s">
        <v>277</v>
      </c>
      <c r="C109" s="26"/>
      <c r="D109" s="21">
        <f>+D25-D27+D104</f>
        <v>-106671.09999999995</v>
      </c>
      <c r="E109" s="13"/>
      <c r="F109" s="20">
        <f>IF(D$12=0,0,D109/D$12)</f>
        <v>-0.51689222421271264</v>
      </c>
      <c r="G109" s="13"/>
      <c r="H109" s="21">
        <f>+H25-H27+H104</f>
        <v>-113444.2184337634</v>
      </c>
      <c r="I109" s="13"/>
      <c r="J109" s="20">
        <f>IF(H$12=0,0,H109/H$12)</f>
        <v>-0.54077193674273005</v>
      </c>
      <c r="K109" s="15"/>
      <c r="L109" s="21">
        <f>+D109-H109</f>
        <v>6773.1184337634477</v>
      </c>
      <c r="M109" s="15"/>
      <c r="N109" s="20">
        <f>IF(H109=0,0,L109/H109)</f>
        <v>-5.9704395052252612E-2</v>
      </c>
      <c r="O109" s="25"/>
      <c r="P109" s="21">
        <f>+P25-P27+P104</f>
        <v>-525697.32000000018</v>
      </c>
      <c r="Q109" s="13"/>
      <c r="R109" s="20">
        <f>IF(P$12=0,0,P109/P$12)</f>
        <v>-1.2188821645862409</v>
      </c>
      <c r="S109" s="13"/>
      <c r="T109" s="21">
        <f>+T25-T27+T104</f>
        <v>-578616.01855909883</v>
      </c>
      <c r="U109" s="13"/>
      <c r="V109" s="20">
        <f>IF(T$12=0,0,T109/T$12)</f>
        <v>-1.3238005672991848</v>
      </c>
      <c r="W109" s="15"/>
      <c r="X109" s="21">
        <f>+P109-T109</f>
        <v>52918.698559098644</v>
      </c>
      <c r="Y109" s="15"/>
      <c r="Z109" s="20">
        <f>IF(T109=0,0,X109/T109)</f>
        <v>-9.1457368724218308E-2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52"/>
      <c r="B111" s="10" t="s">
        <v>128</v>
      </c>
      <c r="C111" s="10"/>
      <c r="D111" s="4">
        <v>22013.919999999998</v>
      </c>
      <c r="E111" s="4"/>
      <c r="F111" s="12">
        <f>IF(D$12=0,0,D111/D$12)</f>
        <v>0.10667204212238107</v>
      </c>
      <c r="G111" s="4"/>
      <c r="H111" s="4">
        <v>25578</v>
      </c>
      <c r="I111" s="4"/>
      <c r="J111" s="12">
        <f>IF(H$12=0,0,H111/H$12)</f>
        <v>0.12192657139316052</v>
      </c>
      <c r="K111" s="4"/>
      <c r="L111" s="4">
        <f>+D111-H111</f>
        <v>-3564.0800000000017</v>
      </c>
      <c r="M111" s="4"/>
      <c r="N111" s="12">
        <f>IF(H111=0,0,L111/H111)</f>
        <v>-0.1393416217061538</v>
      </c>
      <c r="O111" s="10"/>
      <c r="P111" s="4">
        <v>49854.1</v>
      </c>
      <c r="Q111" s="4"/>
      <c r="R111" s="12">
        <f>IF(P$12=0,0,P111/P$12)</f>
        <v>0.11559175025183481</v>
      </c>
      <c r="S111" s="4"/>
      <c r="T111" s="4">
        <v>50258</v>
      </c>
      <c r="U111" s="4"/>
      <c r="V111" s="12">
        <f>IF(T$12=0,0,T111/T$12)</f>
        <v>0.11498397344235815</v>
      </c>
      <c r="W111" s="4"/>
      <c r="X111" s="4">
        <f>+P111-T111</f>
        <v>-403.90000000000146</v>
      </c>
      <c r="Y111" s="4"/>
      <c r="Z111" s="12">
        <f>IF(T111=0,0,X111/T111)</f>
        <v>-8.0365314974730675E-3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6" t="s">
        <v>126</v>
      </c>
      <c r="C113" s="26"/>
      <c r="D113" s="31">
        <f>+D109-D111</f>
        <v>-128685.01999999995</v>
      </c>
      <c r="E113" s="13"/>
      <c r="F113" s="33">
        <f>IF(D$12=0,0,D113/D$12)</f>
        <v>-0.62356426633509376</v>
      </c>
      <c r="G113" s="13"/>
      <c r="H113" s="31">
        <f>+H109-H111</f>
        <v>-139022.2184337634</v>
      </c>
      <c r="I113" s="13"/>
      <c r="J113" s="33">
        <f>IF(H$12=0,0,H113/H$12)</f>
        <v>-0.6626985081358906</v>
      </c>
      <c r="K113" s="15"/>
      <c r="L113" s="31">
        <f>D113-H113</f>
        <v>10337.198433763449</v>
      </c>
      <c r="M113" s="15"/>
      <c r="N113" s="33">
        <f>IF(H113=0,0,L113/H113)</f>
        <v>-7.4356448560692248E-2</v>
      </c>
      <c r="O113" s="25"/>
      <c r="P113" s="31">
        <f>+P109-P111</f>
        <v>-575551.42000000016</v>
      </c>
      <c r="Q113" s="13"/>
      <c r="R113" s="33">
        <f>IF(P$12=0,0,P113/P$12)</f>
        <v>-1.3344739148380755</v>
      </c>
      <c r="S113" s="13"/>
      <c r="T113" s="31">
        <f>+T109-T111</f>
        <v>-628874.01855909883</v>
      </c>
      <c r="U113" s="13"/>
      <c r="V113" s="33">
        <f>IF(T$12=0,0,T113/T$12)</f>
        <v>-1.4387845407415429</v>
      </c>
      <c r="W113" s="15"/>
      <c r="X113" s="31">
        <f>P113-T113</f>
        <v>53322.598559098667</v>
      </c>
      <c r="Y113" s="15"/>
      <c r="Z113" s="33">
        <f>IF(T113=0,0,X113/T113)</f>
        <v>-8.4790589188711477E-2</v>
      </c>
    </row>
    <row r="114" spans="1:26" ht="15.75" thickTop="1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6" t="s">
        <v>294</v>
      </c>
      <c r="C116" s="26"/>
      <c r="D116" s="35">
        <f>SUM(D113:D115)</f>
        <v>-128685.01999999995</v>
      </c>
      <c r="E116" s="13"/>
      <c r="F116" s="32">
        <f>IF(D$12=0,0,D116/D$12)</f>
        <v>-0.62356426633509376</v>
      </c>
      <c r="G116" s="13"/>
      <c r="H116" s="35">
        <f>SUM(H113:H115)</f>
        <v>-139022.2184337634</v>
      </c>
      <c r="I116" s="13"/>
      <c r="J116" s="32">
        <f>IF(H$12=0,0,H116/H$12)</f>
        <v>-0.6626985081358906</v>
      </c>
      <c r="K116" s="15"/>
      <c r="L116" s="35">
        <f>+D116-H116</f>
        <v>10337.198433763449</v>
      </c>
      <c r="M116" s="15"/>
      <c r="N116" s="32">
        <f>IF(H116=0,0,L116/H116)</f>
        <v>-7.4356448560692248E-2</v>
      </c>
      <c r="O116" s="25"/>
      <c r="P116" s="35">
        <f>SUM(P113:P115)</f>
        <v>-575551.42000000016</v>
      </c>
      <c r="Q116" s="13"/>
      <c r="R116" s="32">
        <f>IF(P$12=0,0,P116/P$12)</f>
        <v>-1.3344739148380755</v>
      </c>
      <c r="S116" s="13"/>
      <c r="T116" s="35">
        <f>SUM(T113:T115)</f>
        <v>-628874.01855909883</v>
      </c>
      <c r="U116" s="13"/>
      <c r="V116" s="32">
        <f>IF(T$12=0,0,T116/T$12)</f>
        <v>-1.4387845407415429</v>
      </c>
      <c r="W116" s="15"/>
      <c r="X116" s="35">
        <f>+P116-T116</f>
        <v>53322.598559098667</v>
      </c>
      <c r="Y116" s="15"/>
      <c r="Z116" s="32">
        <f>IF(T116=0,0,X116/T116)</f>
        <v>-8.4790589188711477E-2</v>
      </c>
    </row>
    <row r="117" spans="1:26" ht="15.75" thickTop="1" x14ac:dyDescent="0.25">
      <c r="A117" s="9"/>
      <c r="C117" s="9"/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59">
        <v>44517.962849386575</v>
      </c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A119" s="9"/>
      <c r="B119" s="62" t="s">
        <v>56</v>
      </c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  <row r="120" spans="1:26" x14ac:dyDescent="0.25">
      <c r="A120" s="9"/>
      <c r="B120" s="57"/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  <row r="121" spans="1:26" x14ac:dyDescent="0.25">
      <c r="D121" s="18"/>
      <c r="E121" s="18"/>
      <c r="G121" s="18"/>
      <c r="H121" s="18"/>
      <c r="I121" s="18"/>
      <c r="J121" s="42"/>
      <c r="K121" s="18"/>
      <c r="L121" s="18"/>
      <c r="M121" s="18"/>
      <c r="P121" s="18"/>
      <c r="Q121" s="18"/>
      <c r="R121" s="42"/>
      <c r="S121" s="18"/>
      <c r="T121" s="18"/>
      <c r="U121" s="18"/>
      <c r="V121" s="42"/>
      <c r="W121" s="18"/>
      <c r="X121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</sheetPr>
  <dimension ref="A2:Z11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106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180540.05000000002</v>
      </c>
      <c r="E12" s="4"/>
      <c r="F12" s="12"/>
      <c r="G12" s="4"/>
      <c r="H12" s="4">
        <f>SUM(OSRRefH13x_0)</f>
        <v>158028</v>
      </c>
      <c r="I12" s="4"/>
      <c r="J12" s="12"/>
      <c r="K12" s="4"/>
      <c r="L12" s="4">
        <f t="shared" ref="L12:L17" si="0">+D12-H12</f>
        <v>22512.050000000017</v>
      </c>
      <c r="M12" s="4"/>
      <c r="N12" s="12">
        <f t="shared" ref="N12:N17" si="1">IF(H12=0,0,L12/H12)</f>
        <v>0.14245608373199697</v>
      </c>
      <c r="O12" s="10"/>
      <c r="P12" s="4">
        <f>SUM(OSRRefP13x_0)</f>
        <v>382686.53</v>
      </c>
      <c r="Q12" s="4"/>
      <c r="R12" s="12"/>
      <c r="S12" s="4"/>
      <c r="T12" s="4">
        <f>SUM(OSRRefT13x_0)</f>
        <v>331318</v>
      </c>
      <c r="U12" s="4"/>
      <c r="V12" s="12"/>
      <c r="W12" s="4"/>
      <c r="X12" s="4">
        <f t="shared" ref="X12:X17" si="2">+P12-T12</f>
        <v>51368.530000000028</v>
      </c>
      <c r="Y12" s="4"/>
      <c r="Z12" s="12">
        <f t="shared" ref="Z12:Z17" si="3">IF(T12=0,0,X12/T12)</f>
        <v>0.15504297985621074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47889</v>
      </c>
      <c r="I13" s="2"/>
      <c r="J13" s="19"/>
      <c r="K13" s="2"/>
      <c r="L13" s="2">
        <f t="shared" si="0"/>
        <v>-47889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101527</v>
      </c>
      <c r="U13" s="2"/>
      <c r="V13" s="19"/>
      <c r="W13" s="2"/>
      <c r="X13" s="2">
        <f t="shared" si="2"/>
        <v>-101527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--39274.26</f>
        <v>39274.26</v>
      </c>
      <c r="E14" s="2"/>
      <c r="F14" s="19"/>
      <c r="G14" s="2"/>
      <c r="H14" s="2"/>
      <c r="I14" s="2"/>
      <c r="J14" s="19"/>
      <c r="K14" s="2"/>
      <c r="L14" s="2">
        <f t="shared" si="0"/>
        <v>39274.26</v>
      </c>
      <c r="M14" s="2"/>
      <c r="N14" s="19">
        <f t="shared" si="1"/>
        <v>0</v>
      </c>
      <c r="O14" s="11"/>
      <c r="P14" s="2">
        <f>--104250.57</f>
        <v>104250.57</v>
      </c>
      <c r="Q14" s="2"/>
      <c r="R14" s="19"/>
      <c r="S14" s="2"/>
      <c r="T14" s="2"/>
      <c r="U14" s="2"/>
      <c r="V14" s="19"/>
      <c r="W14" s="2"/>
      <c r="X14" s="2">
        <f t="shared" si="2"/>
        <v>104250.57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--4264.84</f>
        <v>4264.84</v>
      </c>
      <c r="E15" s="2"/>
      <c r="F15" s="19"/>
      <c r="G15" s="2"/>
      <c r="H15" s="2"/>
      <c r="I15" s="2"/>
      <c r="J15" s="19"/>
      <c r="K15" s="2"/>
      <c r="L15" s="2">
        <f t="shared" si="0"/>
        <v>4264.84</v>
      </c>
      <c r="M15" s="2"/>
      <c r="N15" s="19">
        <f t="shared" si="1"/>
        <v>0</v>
      </c>
      <c r="O15" s="11"/>
      <c r="P15" s="2">
        <f>--4264.84</f>
        <v>4264.84</v>
      </c>
      <c r="Q15" s="2"/>
      <c r="R15" s="19"/>
      <c r="S15" s="2"/>
      <c r="T15" s="2"/>
      <c r="U15" s="2"/>
      <c r="V15" s="19"/>
      <c r="W15" s="2"/>
      <c r="X15" s="2">
        <f t="shared" si="2"/>
        <v>4264.84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0</f>
        <v>0</v>
      </c>
      <c r="E16" s="2"/>
      <c r="F16" s="19"/>
      <c r="G16" s="2"/>
      <c r="H16" s="2">
        <v>110139</v>
      </c>
      <c r="I16" s="2"/>
      <c r="J16" s="19"/>
      <c r="K16" s="2"/>
      <c r="L16" s="2">
        <f t="shared" si="0"/>
        <v>-110139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229791</v>
      </c>
      <c r="U16" s="2"/>
      <c r="V16" s="19"/>
      <c r="W16" s="2"/>
      <c r="X16" s="2">
        <f t="shared" si="2"/>
        <v>-229791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--137000.95</f>
        <v>137000.95000000001</v>
      </c>
      <c r="E17" s="2"/>
      <c r="F17" s="19"/>
      <c r="G17" s="2"/>
      <c r="H17" s="2"/>
      <c r="I17" s="2"/>
      <c r="J17" s="19"/>
      <c r="K17" s="2"/>
      <c r="L17" s="2">
        <f t="shared" si="0"/>
        <v>137000.95000000001</v>
      </c>
      <c r="M17" s="2"/>
      <c r="N17" s="19">
        <f t="shared" si="1"/>
        <v>0</v>
      </c>
      <c r="O17" s="11"/>
      <c r="P17" s="2">
        <f>--274171.12</f>
        <v>274171.12</v>
      </c>
      <c r="Q17" s="2"/>
      <c r="R17" s="19"/>
      <c r="S17" s="2"/>
      <c r="T17" s="2"/>
      <c r="U17" s="2"/>
      <c r="V17" s="19"/>
      <c r="W17" s="2"/>
      <c r="X17" s="2">
        <f t="shared" si="2"/>
        <v>274171.12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5" t="s">
        <v>257</v>
      </c>
      <c r="C19" s="10"/>
      <c r="D19" s="4">
        <f>SUM(OSRRefD16x_0)</f>
        <v>77772.61</v>
      </c>
      <c r="E19" s="4"/>
      <c r="F19" s="12">
        <f t="shared" ref="F19:F22" si="4">IF(D$12=0,0,D19/D$12)</f>
        <v>0.43077760308585267</v>
      </c>
      <c r="G19" s="4"/>
      <c r="H19" s="4">
        <f>SUM(OSRRefH16x_0)</f>
        <v>52085</v>
      </c>
      <c r="I19" s="4"/>
      <c r="J19" s="12">
        <f t="shared" ref="J19:J22" si="5">IF(H$12=0,0,H19/H$12)</f>
        <v>0.32959348976130814</v>
      </c>
      <c r="K19" s="4"/>
      <c r="L19" s="4">
        <f t="shared" ref="L19:L22" si="6">+D19-H19</f>
        <v>25687.61</v>
      </c>
      <c r="M19" s="4"/>
      <c r="N19" s="12">
        <f t="shared" ref="N19:N22" si="7">IF(H19=0,0,L19/H19)</f>
        <v>0.49318633003743884</v>
      </c>
      <c r="O19" s="10"/>
      <c r="P19" s="4">
        <f>SUM(OSRRefP16x_0)</f>
        <v>148122.07</v>
      </c>
      <c r="Q19" s="4"/>
      <c r="R19" s="12">
        <f t="shared" ref="R19:R22" si="8">IF(P$12=0,0,P19/P$12)</f>
        <v>0.38705848883680333</v>
      </c>
      <c r="S19" s="4"/>
      <c r="T19" s="4">
        <f>SUM(OSRRefT16x_0)</f>
        <v>114528</v>
      </c>
      <c r="U19" s="4"/>
      <c r="V19" s="12">
        <f t="shared" ref="V19:V22" si="9">IF(T$12=0,0,T19/T$12)</f>
        <v>0.3456739446694716</v>
      </c>
      <c r="W19" s="4"/>
      <c r="X19" s="4">
        <f t="shared" ref="X19:X22" si="10">+P19-T19</f>
        <v>33594.070000000007</v>
      </c>
      <c r="Y19" s="4"/>
      <c r="Z19" s="12">
        <f t="shared" ref="Z19:Z22" si="11">IF(T19=0,0,X19/T19)</f>
        <v>0.29332626082704671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4"/>
        <v>0</v>
      </c>
      <c r="G20" s="2"/>
      <c r="H20" s="2">
        <v>52085</v>
      </c>
      <c r="I20" s="2"/>
      <c r="J20" s="19">
        <f t="shared" si="5"/>
        <v>0.32959348976130814</v>
      </c>
      <c r="K20" s="2"/>
      <c r="L20" s="2">
        <f t="shared" si="6"/>
        <v>-52085</v>
      </c>
      <c r="M20" s="2"/>
      <c r="N20" s="19">
        <f t="shared" si="7"/>
        <v>-1</v>
      </c>
      <c r="O20" s="11"/>
      <c r="P20" s="2"/>
      <c r="Q20" s="2"/>
      <c r="R20" s="19">
        <f t="shared" si="8"/>
        <v>0</v>
      </c>
      <c r="S20" s="2"/>
      <c r="T20" s="2">
        <v>114528</v>
      </c>
      <c r="U20" s="2"/>
      <c r="V20" s="19">
        <f t="shared" si="9"/>
        <v>0.3456739446694716</v>
      </c>
      <c r="W20" s="2"/>
      <c r="X20" s="2">
        <f t="shared" si="10"/>
        <v>-114528</v>
      </c>
      <c r="Y20" s="2"/>
      <c r="Z20" s="19">
        <f t="shared" si="11"/>
        <v>-1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69862.070000000007</v>
      </c>
      <c r="E21" s="2"/>
      <c r="F21" s="19">
        <f t="shared" si="4"/>
        <v>0.38696161876547613</v>
      </c>
      <c r="G21" s="2"/>
      <c r="H21" s="2"/>
      <c r="I21" s="2"/>
      <c r="J21" s="19">
        <f t="shared" si="5"/>
        <v>0</v>
      </c>
      <c r="K21" s="2"/>
      <c r="L21" s="2">
        <f t="shared" si="6"/>
        <v>69862.070000000007</v>
      </c>
      <c r="M21" s="2"/>
      <c r="N21" s="19">
        <f t="shared" si="7"/>
        <v>0</v>
      </c>
      <c r="O21" s="11"/>
      <c r="P21" s="2">
        <v>154360.93</v>
      </c>
      <c r="Q21" s="2"/>
      <c r="R21" s="19">
        <f t="shared" si="8"/>
        <v>0.40336128371176266</v>
      </c>
      <c r="S21" s="2"/>
      <c r="T21" s="2"/>
      <c r="U21" s="2"/>
      <c r="V21" s="19">
        <f t="shared" si="9"/>
        <v>0</v>
      </c>
      <c r="W21" s="2"/>
      <c r="X21" s="2">
        <f t="shared" si="10"/>
        <v>154360.93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7910.54</v>
      </c>
      <c r="E22" s="2"/>
      <c r="F22" s="19">
        <f t="shared" si="4"/>
        <v>4.3815984320376554E-2</v>
      </c>
      <c r="G22" s="2"/>
      <c r="H22" s="2"/>
      <c r="I22" s="2"/>
      <c r="J22" s="19">
        <f t="shared" si="5"/>
        <v>0</v>
      </c>
      <c r="K22" s="2"/>
      <c r="L22" s="2">
        <f t="shared" si="6"/>
        <v>7910.54</v>
      </c>
      <c r="M22" s="2"/>
      <c r="N22" s="19">
        <f t="shared" si="7"/>
        <v>0</v>
      </c>
      <c r="O22" s="11"/>
      <c r="P22" s="2">
        <v>-6238.86</v>
      </c>
      <c r="Q22" s="2"/>
      <c r="R22" s="19">
        <f t="shared" si="8"/>
        <v>-1.6302794874959406E-2</v>
      </c>
      <c r="S22" s="2"/>
      <c r="T22" s="2"/>
      <c r="U22" s="2"/>
      <c r="V22" s="19">
        <f t="shared" si="9"/>
        <v>0</v>
      </c>
      <c r="W22" s="2"/>
      <c r="X22" s="2">
        <f t="shared" si="10"/>
        <v>-6238.86</v>
      </c>
      <c r="Y22" s="2"/>
      <c r="Z22" s="19">
        <f t="shared" si="11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108</v>
      </c>
      <c r="C24" s="26"/>
      <c r="D24" s="21">
        <f>D12-D19</f>
        <v>102767.44000000002</v>
      </c>
      <c r="E24" s="13"/>
      <c r="F24" s="20">
        <f>IF(D$12=0,0,D24/D$12)</f>
        <v>0.56922239691414733</v>
      </c>
      <c r="G24" s="13"/>
      <c r="H24" s="21">
        <f>H12-H19</f>
        <v>105943</v>
      </c>
      <c r="I24" s="13"/>
      <c r="J24" s="20">
        <f>IF(H$12=0,0,H24/H$12)</f>
        <v>0.67040651023869191</v>
      </c>
      <c r="K24" s="15"/>
      <c r="L24" s="21">
        <f>+D24-H24</f>
        <v>-3175.5599999999831</v>
      </c>
      <c r="M24" s="15"/>
      <c r="N24" s="20">
        <f>IF(H24=0,0,L24/H24)</f>
        <v>-2.9974231426332869E-2</v>
      </c>
      <c r="O24" s="25"/>
      <c r="P24" s="21">
        <f>P12-P19</f>
        <v>234564.46000000002</v>
      </c>
      <c r="Q24" s="13"/>
      <c r="R24" s="20">
        <f>IF(P$12=0,0,P24/P$12)</f>
        <v>0.61294151116319673</v>
      </c>
      <c r="S24" s="13"/>
      <c r="T24" s="21">
        <f>T12-T19</f>
        <v>216790</v>
      </c>
      <c r="U24" s="13"/>
      <c r="V24" s="20">
        <f>IF(T$12=0,0,T24/T$12)</f>
        <v>0.65432605533052834</v>
      </c>
      <c r="W24" s="15"/>
      <c r="X24" s="21">
        <f>+P24-T24</f>
        <v>17774.460000000021</v>
      </c>
      <c r="Y24" s="15"/>
      <c r="Z24" s="20">
        <f>IF(T24=0,0,X24/T24)</f>
        <v>8.1989298399372759E-2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295</v>
      </c>
      <c r="C26" s="10"/>
      <c r="D26" s="22">
        <f>SUM(OSRRefD22x_0)</f>
        <v>209534.14999999994</v>
      </c>
      <c r="E26" s="22"/>
      <c r="F26" s="34">
        <f t="shared" ref="F26:F36" si="12">IF(D$12=0,0,D26/D$12)</f>
        <v>1.1605964992255176</v>
      </c>
      <c r="G26" s="22"/>
      <c r="H26" s="22">
        <f>SUM(OSRRefH22x_0)</f>
        <v>200308.79094337884</v>
      </c>
      <c r="I26" s="22"/>
      <c r="J26" s="34">
        <f t="shared" ref="J26:J36" si="13">IF(H$12=0,0,H26/H$12)</f>
        <v>1.2675525283075078</v>
      </c>
      <c r="K26" s="4"/>
      <c r="L26" s="22">
        <f t="shared" ref="L26:L36" si="14">+D26-H26</f>
        <v>9225.3590566210914</v>
      </c>
      <c r="M26" s="4"/>
      <c r="N26" s="34">
        <f t="shared" ref="N26:N36" si="15">IF(H26=0,0,L26/H26)</f>
        <v>4.605568738732399E-2</v>
      </c>
      <c r="O26" s="10"/>
      <c r="P26" s="22">
        <f>SUM(OSRRefP22x_0)</f>
        <v>730624.46</v>
      </c>
      <c r="Q26" s="22"/>
      <c r="R26" s="34">
        <f t="shared" ref="R26:R36" si="16">IF(P$12=0,0,P26/P$12)</f>
        <v>1.909198267312936</v>
      </c>
      <c r="S26" s="22"/>
      <c r="T26" s="22">
        <f>SUM(OSRRefT22x_0)</f>
        <v>706677.83055371465</v>
      </c>
      <c r="U26" s="22"/>
      <c r="V26" s="34">
        <f t="shared" ref="V26:V36" si="17">IF(T$12=0,0,T26/T$12)</f>
        <v>2.1329291814924471</v>
      </c>
      <c r="W26" s="4"/>
      <c r="X26" s="22">
        <f t="shared" ref="X26:X36" si="18">+P26-T26</f>
        <v>23946.629446285311</v>
      </c>
      <c r="Y26" s="4"/>
      <c r="Z26" s="34">
        <f t="shared" ref="Z26:Z36" si="19">IF(T26=0,0,X26/T26)</f>
        <v>3.3886204449801435E-2</v>
      </c>
    </row>
    <row r="27" spans="1:26" s="28" customFormat="1" outlineLevel="1" collapsed="1" x14ac:dyDescent="0.25">
      <c r="A27" s="29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35927.879999999997</v>
      </c>
      <c r="E27" s="1"/>
      <c r="F27" s="5">
        <f t="shared" si="12"/>
        <v>0.19900227124120101</v>
      </c>
      <c r="G27" s="1"/>
      <c r="H27" s="1">
        <f>SUM(OSRRefH22_0x_0)</f>
        <v>32886.122568378843</v>
      </c>
      <c r="I27" s="1"/>
      <c r="J27" s="5">
        <f t="shared" si="13"/>
        <v>0.20810313721858686</v>
      </c>
      <c r="K27" s="1"/>
      <c r="L27" s="1">
        <f t="shared" si="14"/>
        <v>3041.757431621154</v>
      </c>
      <c r="M27" s="1"/>
      <c r="N27" s="5">
        <f t="shared" si="15"/>
        <v>9.2493647595472683E-2</v>
      </c>
      <c r="O27" s="14"/>
      <c r="P27" s="1">
        <f>SUM(OSRRefP22_0x_0)</f>
        <v>117736.49</v>
      </c>
      <c r="Q27" s="1"/>
      <c r="R27" s="5">
        <f t="shared" si="16"/>
        <v>0.30765778455802978</v>
      </c>
      <c r="S27" s="1"/>
      <c r="T27" s="1">
        <f>SUM(OSRRefT22_0x_0)</f>
        <v>115765.30656371455</v>
      </c>
      <c r="U27" s="1"/>
      <c r="V27" s="5">
        <f t="shared" si="17"/>
        <v>0.34940844313835817</v>
      </c>
      <c r="W27" s="1"/>
      <c r="X27" s="1">
        <f t="shared" si="18"/>
        <v>1971.183436285457</v>
      </c>
      <c r="Y27" s="1"/>
      <c r="Z27" s="5">
        <f t="shared" si="19"/>
        <v>1.7027410843511767E-2</v>
      </c>
    </row>
    <row r="28" spans="1:26" s="24" customFormat="1" hidden="1" outlineLevel="2" x14ac:dyDescent="0.25">
      <c r="A28" s="27"/>
      <c r="B28" s="11" t="str">
        <f>CONCATENATE("          ", "6111", " - ", "F.I.C.A.")</f>
        <v xml:space="preserve">          6111 - F.I.C.A.</v>
      </c>
      <c r="C28" s="11"/>
      <c r="D28" s="7">
        <v>6021.07</v>
      </c>
      <c r="E28" s="2"/>
      <c r="F28" s="6">
        <f t="shared" si="12"/>
        <v>3.3350328638991733E-2</v>
      </c>
      <c r="G28" s="2"/>
      <c r="H28" s="7">
        <v>4330.8557914557696</v>
      </c>
      <c r="I28" s="2"/>
      <c r="J28" s="6">
        <f t="shared" si="13"/>
        <v>2.7405623000074479E-2</v>
      </c>
      <c r="K28" s="2"/>
      <c r="L28" s="7">
        <f t="shared" si="14"/>
        <v>1690.2142085442301</v>
      </c>
      <c r="M28" s="2"/>
      <c r="N28" s="6">
        <f t="shared" si="15"/>
        <v>0.39027256734773041</v>
      </c>
      <c r="O28" s="11"/>
      <c r="P28" s="7">
        <v>17780.62</v>
      </c>
      <c r="Q28" s="2"/>
      <c r="R28" s="6">
        <f t="shared" si="16"/>
        <v>4.6462623076908398E-2</v>
      </c>
      <c r="S28" s="2"/>
      <c r="T28" s="7">
        <v>15247.0679534068</v>
      </c>
      <c r="U28" s="2"/>
      <c r="V28" s="6">
        <f t="shared" si="17"/>
        <v>4.6019437378611486E-2</v>
      </c>
      <c r="W28" s="2"/>
      <c r="X28" s="7">
        <f t="shared" si="18"/>
        <v>2533.5520465931986</v>
      </c>
      <c r="Y28" s="2"/>
      <c r="Z28" s="6">
        <f t="shared" si="19"/>
        <v>0.16616650849431694</v>
      </c>
    </row>
    <row r="29" spans="1:26" s="24" customFormat="1" hidden="1" outlineLevel="2" x14ac:dyDescent="0.25">
      <c r="A29" s="27"/>
      <c r="B29" s="11" t="str">
        <f>CONCATENATE("          ", "6112", " - ", "COMPENSATION INSURANCE")</f>
        <v xml:space="preserve">          6112 - COMPENSATION INSURANCE</v>
      </c>
      <c r="C29" s="11"/>
      <c r="D29" s="7">
        <v>3095.01</v>
      </c>
      <c r="E29" s="2"/>
      <c r="F29" s="6">
        <f t="shared" si="12"/>
        <v>1.7143066039917457E-2</v>
      </c>
      <c r="G29" s="2"/>
      <c r="H29" s="7">
        <v>3387.9871855961601</v>
      </c>
      <c r="I29" s="2"/>
      <c r="J29" s="6">
        <f t="shared" si="13"/>
        <v>2.1439157526489991E-2</v>
      </c>
      <c r="K29" s="2"/>
      <c r="L29" s="7">
        <f t="shared" si="14"/>
        <v>-292.97718559615987</v>
      </c>
      <c r="M29" s="2"/>
      <c r="N29" s="6">
        <f t="shared" si="15"/>
        <v>-8.6475293307405693E-2</v>
      </c>
      <c r="O29" s="11"/>
      <c r="P29" s="7">
        <v>7961.36</v>
      </c>
      <c r="Q29" s="2"/>
      <c r="R29" s="6">
        <f t="shared" si="16"/>
        <v>2.0803867854977804E-2</v>
      </c>
      <c r="S29" s="2"/>
      <c r="T29" s="7">
        <v>10345.6178955262</v>
      </c>
      <c r="U29" s="2"/>
      <c r="V29" s="6">
        <f t="shared" si="17"/>
        <v>3.122564392977804E-2</v>
      </c>
      <c r="W29" s="2"/>
      <c r="X29" s="7">
        <f t="shared" si="18"/>
        <v>-2384.2578955262006</v>
      </c>
      <c r="Y29" s="2"/>
      <c r="Z29" s="6">
        <f t="shared" si="19"/>
        <v>-0.23046065683106617</v>
      </c>
    </row>
    <row r="30" spans="1:26" s="24" customFormat="1" hidden="1" outlineLevel="2" x14ac:dyDescent="0.25">
      <c r="A30" s="27"/>
      <c r="B30" s="11" t="str">
        <f>CONCATENATE("          ", "6113", " - ", "GROUP INSURANCE")</f>
        <v xml:space="preserve">          6113 - GROUP INSURANCE</v>
      </c>
      <c r="C30" s="11"/>
      <c r="D30" s="7">
        <v>12571.1</v>
      </c>
      <c r="E30" s="2"/>
      <c r="F30" s="6">
        <f t="shared" si="12"/>
        <v>6.9630533502123212E-2</v>
      </c>
      <c r="G30" s="2"/>
      <c r="H30" s="7">
        <v>15156.0769230769</v>
      </c>
      <c r="I30" s="2"/>
      <c r="J30" s="6">
        <f t="shared" si="13"/>
        <v>9.5907541214701825E-2</v>
      </c>
      <c r="K30" s="2"/>
      <c r="L30" s="7">
        <f t="shared" si="14"/>
        <v>-2584.9769230768998</v>
      </c>
      <c r="M30" s="2"/>
      <c r="N30" s="6">
        <f t="shared" si="15"/>
        <v>-0.17055712610833809</v>
      </c>
      <c r="O30" s="11"/>
      <c r="P30" s="7">
        <v>49720.88</v>
      </c>
      <c r="Q30" s="2"/>
      <c r="R30" s="6">
        <f t="shared" si="16"/>
        <v>0.12992586909186479</v>
      </c>
      <c r="S30" s="2"/>
      <c r="T30" s="7">
        <v>55895.6615384615</v>
      </c>
      <c r="U30" s="2"/>
      <c r="V30" s="6">
        <f t="shared" si="17"/>
        <v>0.16870698705914408</v>
      </c>
      <c r="W30" s="2"/>
      <c r="X30" s="7">
        <f t="shared" si="18"/>
        <v>-6174.7815384615024</v>
      </c>
      <c r="Y30" s="2"/>
      <c r="Z30" s="6">
        <f t="shared" si="19"/>
        <v>-0.11046978188481889</v>
      </c>
    </row>
    <row r="31" spans="1:26" s="24" customFormat="1" hidden="1" outlineLevel="2" x14ac:dyDescent="0.25">
      <c r="A31" s="27"/>
      <c r="B31" s="11" t="str">
        <f>CONCATENATE("          ", "6114", " - ", "STATE UNEMPLOYMENT INSURANCE")</f>
        <v xml:space="preserve">          6114 - STATE UNEMPLOYMENT INSURANCE</v>
      </c>
      <c r="C31" s="11"/>
      <c r="D31" s="7">
        <v>267.12</v>
      </c>
      <c r="E31" s="2"/>
      <c r="F31" s="6">
        <f t="shared" si="12"/>
        <v>1.4795609062919833E-3</v>
      </c>
      <c r="G31" s="2"/>
      <c r="H31" s="7">
        <v>187.72488363461599</v>
      </c>
      <c r="I31" s="2"/>
      <c r="J31" s="6">
        <f t="shared" si="13"/>
        <v>1.187921657140608E-3</v>
      </c>
      <c r="K31" s="2"/>
      <c r="L31" s="7">
        <f t="shared" si="14"/>
        <v>79.395116365384013</v>
      </c>
      <c r="M31" s="2"/>
      <c r="N31" s="6">
        <f t="shared" si="15"/>
        <v>0.42293336305866142</v>
      </c>
      <c r="O31" s="11"/>
      <c r="P31" s="7">
        <v>706.61</v>
      </c>
      <c r="Q31" s="2"/>
      <c r="R31" s="6">
        <f t="shared" si="16"/>
        <v>1.8464459671470536E-3</v>
      </c>
      <c r="S31" s="2"/>
      <c r="T31" s="7">
        <v>573.24004170461603</v>
      </c>
      <c r="U31" s="2"/>
      <c r="V31" s="6">
        <f t="shared" si="17"/>
        <v>1.7301807982198856E-3</v>
      </c>
      <c r="W31" s="2"/>
      <c r="X31" s="7">
        <f t="shared" si="18"/>
        <v>133.36995829538398</v>
      </c>
      <c r="Y31" s="2"/>
      <c r="Z31" s="6">
        <f t="shared" si="19"/>
        <v>0.23265987822272188</v>
      </c>
    </row>
    <row r="32" spans="1:26" s="24" customFormat="1" hidden="1" outlineLevel="2" x14ac:dyDescent="0.25">
      <c r="A32" s="27"/>
      <c r="B32" s="11" t="str">
        <f>CONCATENATE("          ", "6115", " - ", "P.E.R.S.")</f>
        <v xml:space="preserve">          6115 - P.E.R.S.</v>
      </c>
      <c r="C32" s="11"/>
      <c r="D32" s="7">
        <v>4728.7700000000004</v>
      </c>
      <c r="E32" s="2"/>
      <c r="F32" s="6">
        <f t="shared" si="12"/>
        <v>2.6192360088523294E-2</v>
      </c>
      <c r="G32" s="2"/>
      <c r="H32" s="7">
        <v>2936.0169288461602</v>
      </c>
      <c r="I32" s="2"/>
      <c r="J32" s="6">
        <f t="shared" si="13"/>
        <v>1.857909312809224E-2</v>
      </c>
      <c r="K32" s="2"/>
      <c r="L32" s="7">
        <f t="shared" si="14"/>
        <v>1792.7530711538402</v>
      </c>
      <c r="M32" s="2"/>
      <c r="N32" s="6">
        <f t="shared" si="15"/>
        <v>0.61060719832374499</v>
      </c>
      <c r="O32" s="11"/>
      <c r="P32" s="7">
        <v>14022.82</v>
      </c>
      <c r="Q32" s="2"/>
      <c r="R32" s="6">
        <f t="shared" si="16"/>
        <v>3.664309794232893E-2</v>
      </c>
      <c r="S32" s="2"/>
      <c r="T32" s="7">
        <v>10569.6609438462</v>
      </c>
      <c r="U32" s="2"/>
      <c r="V32" s="6">
        <f t="shared" si="17"/>
        <v>3.1901861486083462E-2</v>
      </c>
      <c r="W32" s="2"/>
      <c r="X32" s="7">
        <f t="shared" si="18"/>
        <v>3453.1590561537996</v>
      </c>
      <c r="Y32" s="2"/>
      <c r="Z32" s="6">
        <f t="shared" si="19"/>
        <v>0.32670480864991941</v>
      </c>
    </row>
    <row r="33" spans="1:26" s="24" customFormat="1" hidden="1" outlineLevel="2" x14ac:dyDescent="0.25">
      <c r="A33" s="27"/>
      <c r="B33" s="11" t="str">
        <f>CONCATENATE("          ", "6116", " - ", "EDUCATIONAL BENEFITS")</f>
        <v xml:space="preserve">          6116 - EDUCATIONAL BENEFITS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7">
        <v>4487.97</v>
      </c>
      <c r="E34" s="2"/>
      <c r="F34" s="6">
        <f t="shared" si="12"/>
        <v>2.4858584009476013E-2</v>
      </c>
      <c r="G34" s="2"/>
      <c r="H34" s="7">
        <v>2867.6130903846201</v>
      </c>
      <c r="I34" s="2"/>
      <c r="J34" s="6">
        <f t="shared" si="13"/>
        <v>1.8146234150812641E-2</v>
      </c>
      <c r="K34" s="2"/>
      <c r="L34" s="7">
        <f t="shared" si="14"/>
        <v>1620.3569096153801</v>
      </c>
      <c r="M34" s="2"/>
      <c r="N34" s="6">
        <f t="shared" si="15"/>
        <v>0.565054231007869</v>
      </c>
      <c r="O34" s="11"/>
      <c r="P34" s="7">
        <v>13399.15</v>
      </c>
      <c r="Q34" s="2"/>
      <c r="R34" s="6">
        <f t="shared" si="16"/>
        <v>3.501338288546503E-2</v>
      </c>
      <c r="S34" s="2"/>
      <c r="T34" s="7">
        <v>10251.988741384601</v>
      </c>
      <c r="U34" s="2"/>
      <c r="V34" s="6">
        <f t="shared" si="17"/>
        <v>3.0943047891707064E-2</v>
      </c>
      <c r="W34" s="2"/>
      <c r="X34" s="7">
        <f t="shared" si="18"/>
        <v>3147.1612586153988</v>
      </c>
      <c r="Y34" s="2"/>
      <c r="Z34" s="6">
        <f t="shared" si="19"/>
        <v>0.30698056133354212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7">
        <v>2900.7</v>
      </c>
      <c r="E35" s="2"/>
      <c r="F35" s="6">
        <f t="shared" si="12"/>
        <v>1.6066795151546704E-2</v>
      </c>
      <c r="G35" s="2"/>
      <c r="H35" s="7">
        <v>1674.8477653846201</v>
      </c>
      <c r="I35" s="2"/>
      <c r="J35" s="6">
        <f t="shared" si="13"/>
        <v>1.0598424110819729E-2</v>
      </c>
      <c r="K35" s="2"/>
      <c r="L35" s="7">
        <f t="shared" si="14"/>
        <v>1225.8522346153798</v>
      </c>
      <c r="M35" s="2"/>
      <c r="N35" s="6">
        <f t="shared" si="15"/>
        <v>0.73191860176848322</v>
      </c>
      <c r="O35" s="11"/>
      <c r="P35" s="7">
        <v>8633.9699999999993</v>
      </c>
      <c r="Q35" s="2"/>
      <c r="R35" s="6">
        <f t="shared" si="16"/>
        <v>2.2561468259674568E-2</v>
      </c>
      <c r="S35" s="2"/>
      <c r="T35" s="7">
        <v>4830.0694493846204</v>
      </c>
      <c r="U35" s="2"/>
      <c r="V35" s="6">
        <f t="shared" si="17"/>
        <v>1.4578349046488933E-2</v>
      </c>
      <c r="W35" s="2"/>
      <c r="X35" s="7">
        <f t="shared" si="18"/>
        <v>3803.900550615379</v>
      </c>
      <c r="Y35" s="2"/>
      <c r="Z35" s="6">
        <f t="shared" si="19"/>
        <v>0.78754572589013572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7">
        <v>1856.14</v>
      </c>
      <c r="E36" s="2"/>
      <c r="F36" s="6">
        <f t="shared" si="12"/>
        <v>1.0281042904330646E-2</v>
      </c>
      <c r="G36" s="2"/>
      <c r="H36" s="7">
        <v>2345</v>
      </c>
      <c r="I36" s="2"/>
      <c r="J36" s="6">
        <f t="shared" si="13"/>
        <v>1.4839142430455362E-2</v>
      </c>
      <c r="K36" s="2"/>
      <c r="L36" s="7">
        <f t="shared" si="14"/>
        <v>-488.8599999999999</v>
      </c>
      <c r="M36" s="2"/>
      <c r="N36" s="6">
        <f t="shared" si="15"/>
        <v>-0.20846908315565027</v>
      </c>
      <c r="O36" s="11"/>
      <c r="P36" s="7">
        <v>5511.08</v>
      </c>
      <c r="Q36" s="2"/>
      <c r="R36" s="6">
        <f t="shared" si="16"/>
        <v>1.4401029479663157E-2</v>
      </c>
      <c r="S36" s="2"/>
      <c r="T36" s="7">
        <v>8052</v>
      </c>
      <c r="U36" s="2"/>
      <c r="V36" s="6">
        <f t="shared" si="17"/>
        <v>2.4302935548325175E-2</v>
      </c>
      <c r="W36" s="2"/>
      <c r="X36" s="7">
        <f t="shared" si="18"/>
        <v>-2540.92</v>
      </c>
      <c r="Y36" s="2"/>
      <c r="Z36" s="6">
        <f t="shared" si="19"/>
        <v>-0.31556383507203178</v>
      </c>
    </row>
    <row r="37" spans="1:26" s="28" customFormat="1" outlineLevel="1" collapsed="1" x14ac:dyDescent="0.25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80221</v>
      </c>
      <c r="E37" s="1"/>
      <c r="F37" s="5">
        <f t="shared" ref="F37:F47" si="20">IF(D$12=0,0,D37/D$12)</f>
        <v>0.44433908155004936</v>
      </c>
      <c r="G37" s="1"/>
      <c r="H37" s="1">
        <f>SUM(OSRRefH22_1x_0)</f>
        <v>84965.668375000008</v>
      </c>
      <c r="I37" s="1"/>
      <c r="J37" s="5">
        <f t="shared" ref="J37:J47" si="21">IF(H$12=0,0,H37/H$12)</f>
        <v>0.53766211288505839</v>
      </c>
      <c r="K37" s="1"/>
      <c r="L37" s="1">
        <f t="shared" ref="L37:L47" si="22">+D37-H37</f>
        <v>-4744.6683750000084</v>
      </c>
      <c r="M37" s="1"/>
      <c r="N37" s="5">
        <f t="shared" ref="N37:N47" si="23">IF(H37=0,0,L37/H37)</f>
        <v>-5.584218268088223E-2</v>
      </c>
      <c r="O37" s="14"/>
      <c r="P37" s="1">
        <f>SUM(OSRRefP22_1x_0)</f>
        <v>260519.22</v>
      </c>
      <c r="Q37" s="1"/>
      <c r="R37" s="5">
        <f t="shared" ref="R37:R47" si="24">IF(P$12=0,0,P37/P$12)</f>
        <v>0.680764018529735</v>
      </c>
      <c r="S37" s="1"/>
      <c r="T37" s="1">
        <f>SUM(OSRRefT22_1x_0)</f>
        <v>258183.52399000002</v>
      </c>
      <c r="U37" s="1"/>
      <c r="V37" s="5">
        <f t="shared" ref="V37:V47" si="25">IF(T$12=0,0,T37/T$12)</f>
        <v>0.77926198996130613</v>
      </c>
      <c r="W37" s="1"/>
      <c r="X37" s="1">
        <f t="shared" ref="X37:X47" si="26">+P37-T37</f>
        <v>2335.6960099999851</v>
      </c>
      <c r="Y37" s="1"/>
      <c r="Z37" s="5">
        <f t="shared" ref="Z37:Z47" si="27">IF(T37=0,0,X37/T37)</f>
        <v>9.0466501266380245E-3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>
        <v>10516.14</v>
      </c>
      <c r="E38" s="2"/>
      <c r="F38" s="6">
        <f t="shared" si="20"/>
        <v>5.82482391026257E-2</v>
      </c>
      <c r="G38" s="2"/>
      <c r="H38" s="7">
        <v>12835.384615384601</v>
      </c>
      <c r="I38" s="2"/>
      <c r="J38" s="6">
        <f t="shared" si="21"/>
        <v>8.1222217679048025E-2</v>
      </c>
      <c r="K38" s="2"/>
      <c r="L38" s="7">
        <f t="shared" si="22"/>
        <v>-2319.2446153846013</v>
      </c>
      <c r="M38" s="2"/>
      <c r="N38" s="6">
        <f t="shared" si="23"/>
        <v>-0.18069147788565176</v>
      </c>
      <c r="O38" s="11"/>
      <c r="P38" s="7">
        <v>43723.66</v>
      </c>
      <c r="Q38" s="2"/>
      <c r="R38" s="6">
        <f t="shared" si="24"/>
        <v>0.11425450485544919</v>
      </c>
      <c r="S38" s="2"/>
      <c r="T38" s="7">
        <v>46207.384615384603</v>
      </c>
      <c r="U38" s="2"/>
      <c r="V38" s="6">
        <f t="shared" si="25"/>
        <v>0.13946536142130703</v>
      </c>
      <c r="W38" s="2"/>
      <c r="X38" s="7">
        <f t="shared" si="26"/>
        <v>-2483.724615384599</v>
      </c>
      <c r="Y38" s="2"/>
      <c r="Z38" s="6">
        <f t="shared" si="27"/>
        <v>-5.3751681382928795E-2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7">
        <v>25037.65</v>
      </c>
      <c r="E39" s="2"/>
      <c r="F39" s="6">
        <f t="shared" si="20"/>
        <v>0.13868197111942751</v>
      </c>
      <c r="G39" s="2"/>
      <c r="H39" s="7">
        <v>18488.1297596154</v>
      </c>
      <c r="I39" s="2"/>
      <c r="J39" s="6">
        <f t="shared" si="21"/>
        <v>0.11699274659943427</v>
      </c>
      <c r="K39" s="2"/>
      <c r="L39" s="7">
        <f t="shared" si="22"/>
        <v>6549.5202403846015</v>
      </c>
      <c r="M39" s="2"/>
      <c r="N39" s="6">
        <f t="shared" si="23"/>
        <v>0.35425542364436802</v>
      </c>
      <c r="O39" s="11"/>
      <c r="P39" s="7">
        <v>89523</v>
      </c>
      <c r="Q39" s="2"/>
      <c r="R39" s="6">
        <f t="shared" si="24"/>
        <v>0.23393297903639304</v>
      </c>
      <c r="S39" s="2"/>
      <c r="T39" s="7">
        <v>66557.267134615395</v>
      </c>
      <c r="U39" s="2"/>
      <c r="V39" s="6">
        <f t="shared" si="25"/>
        <v>0.20088636033845247</v>
      </c>
      <c r="W39" s="2"/>
      <c r="X39" s="7">
        <f t="shared" si="26"/>
        <v>22965.732865384605</v>
      </c>
      <c r="Y39" s="2"/>
      <c r="Z39" s="6">
        <f t="shared" si="27"/>
        <v>0.34505222125384544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7">
        <v>11612.94</v>
      </c>
      <c r="E41" s="2"/>
      <c r="F41" s="6">
        <f t="shared" si="20"/>
        <v>6.4323345429449036E-2</v>
      </c>
      <c r="G41" s="2"/>
      <c r="H41" s="7">
        <v>19997.304</v>
      </c>
      <c r="I41" s="2"/>
      <c r="J41" s="6">
        <f t="shared" si="21"/>
        <v>0.12654278988533676</v>
      </c>
      <c r="K41" s="2"/>
      <c r="L41" s="7">
        <f t="shared" si="22"/>
        <v>-8384.3639999999996</v>
      </c>
      <c r="M41" s="2"/>
      <c r="N41" s="6">
        <f t="shared" si="23"/>
        <v>-0.41927471823201767</v>
      </c>
      <c r="O41" s="11"/>
      <c r="P41" s="7">
        <v>36350.97</v>
      </c>
      <c r="Q41" s="2"/>
      <c r="R41" s="6">
        <f t="shared" si="24"/>
        <v>9.4988893390107035E-2</v>
      </c>
      <c r="S41" s="2"/>
      <c r="T41" s="7">
        <v>64142.187239999999</v>
      </c>
      <c r="U41" s="2"/>
      <c r="V41" s="6">
        <f t="shared" si="25"/>
        <v>0.1935970494811631</v>
      </c>
      <c r="W41" s="2"/>
      <c r="X41" s="7">
        <f t="shared" si="26"/>
        <v>-27791.217239999998</v>
      </c>
      <c r="Y41" s="2"/>
      <c r="Z41" s="6">
        <f t="shared" si="27"/>
        <v>-0.43327517248537156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7">
        <v>17018.73</v>
      </c>
      <c r="E42" s="2"/>
      <c r="F42" s="6">
        <f t="shared" si="20"/>
        <v>9.4265676784735561E-2</v>
      </c>
      <c r="G42" s="2"/>
      <c r="H42" s="7">
        <v>15478.29</v>
      </c>
      <c r="I42" s="2"/>
      <c r="J42" s="6">
        <f t="shared" si="21"/>
        <v>9.7946503151340278E-2</v>
      </c>
      <c r="K42" s="2"/>
      <c r="L42" s="7">
        <f t="shared" si="22"/>
        <v>1540.4399999999987</v>
      </c>
      <c r="M42" s="2"/>
      <c r="N42" s="6">
        <f t="shared" si="23"/>
        <v>9.9522621684953474E-2</v>
      </c>
      <c r="O42" s="11"/>
      <c r="P42" s="7">
        <v>43672.05</v>
      </c>
      <c r="Q42" s="2"/>
      <c r="R42" s="6">
        <f t="shared" si="24"/>
        <v>0.11411964251785919</v>
      </c>
      <c r="S42" s="2"/>
      <c r="T42" s="7">
        <v>38752.47</v>
      </c>
      <c r="U42" s="2"/>
      <c r="V42" s="6">
        <f t="shared" si="25"/>
        <v>0.11696457783760617</v>
      </c>
      <c r="W42" s="2"/>
      <c r="X42" s="7">
        <f t="shared" si="26"/>
        <v>4919.5800000000017</v>
      </c>
      <c r="Y42" s="2"/>
      <c r="Z42" s="6">
        <f t="shared" si="27"/>
        <v>0.12694881126286922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7">
        <v>16035.54</v>
      </c>
      <c r="E44" s="2"/>
      <c r="F44" s="6">
        <f t="shared" si="20"/>
        <v>8.8819849113811591E-2</v>
      </c>
      <c r="G44" s="2"/>
      <c r="H44" s="7">
        <v>1653.85</v>
      </c>
      <c r="I44" s="2"/>
      <c r="J44" s="6">
        <f t="shared" si="21"/>
        <v>1.0465550408788316E-2</v>
      </c>
      <c r="K44" s="2"/>
      <c r="L44" s="7">
        <f t="shared" si="22"/>
        <v>14381.69</v>
      </c>
      <c r="M44" s="2"/>
      <c r="N44" s="6">
        <f t="shared" si="23"/>
        <v>8.6958853584061444</v>
      </c>
      <c r="O44" s="11"/>
      <c r="P44" s="7">
        <v>47249.54</v>
      </c>
      <c r="Q44" s="2"/>
      <c r="R44" s="6">
        <f t="shared" si="24"/>
        <v>0.12346799872992655</v>
      </c>
      <c r="S44" s="2"/>
      <c r="T44" s="7">
        <v>9345.64</v>
      </c>
      <c r="U44" s="2"/>
      <c r="V44" s="6">
        <f t="shared" si="25"/>
        <v>2.8207462317169606E-2</v>
      </c>
      <c r="W44" s="2"/>
      <c r="X44" s="7">
        <f t="shared" si="26"/>
        <v>37903.9</v>
      </c>
      <c r="Y44" s="2"/>
      <c r="Z44" s="6">
        <f t="shared" si="27"/>
        <v>4.0557843015566624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0"/>
        <v>0</v>
      </c>
      <c r="G45" s="2"/>
      <c r="H45" s="7">
        <v>16512.71</v>
      </c>
      <c r="I45" s="2"/>
      <c r="J45" s="6">
        <f t="shared" si="21"/>
        <v>0.10449230516111069</v>
      </c>
      <c r="K45" s="2"/>
      <c r="L45" s="7">
        <f t="shared" si="22"/>
        <v>-16512.71</v>
      </c>
      <c r="M45" s="2"/>
      <c r="N45" s="6">
        <f t="shared" si="23"/>
        <v>-1</v>
      </c>
      <c r="O45" s="11"/>
      <c r="P45" s="7"/>
      <c r="Q45" s="2"/>
      <c r="R45" s="6">
        <f t="shared" si="24"/>
        <v>0</v>
      </c>
      <c r="S45" s="2"/>
      <c r="T45" s="7">
        <v>33178.574999999997</v>
      </c>
      <c r="U45" s="2"/>
      <c r="V45" s="6">
        <f t="shared" si="25"/>
        <v>0.10014117856560766</v>
      </c>
      <c r="W45" s="2"/>
      <c r="X45" s="7">
        <f t="shared" si="26"/>
        <v>-33178.574999999997</v>
      </c>
      <c r="Y45" s="2"/>
      <c r="Z45" s="6">
        <f t="shared" si="27"/>
        <v>-1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25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50.23</v>
      </c>
      <c r="E48" s="1"/>
      <c r="F48" s="5">
        <f t="shared" ref="F48:F56" si="28">IF(D$12=0,0,D48/D$12)</f>
        <v>2.7822081582452201E-4</v>
      </c>
      <c r="G48" s="1"/>
      <c r="H48" s="1">
        <f>SUM(OSRRefH22_2x_0)</f>
        <v>0</v>
      </c>
      <c r="I48" s="1"/>
      <c r="J48" s="5">
        <f t="shared" ref="J48:J56" si="29">IF(H$12=0,0,H48/H$12)</f>
        <v>0</v>
      </c>
      <c r="K48" s="1"/>
      <c r="L48" s="1">
        <f t="shared" ref="L48:L56" si="30">+D48-H48</f>
        <v>50.23</v>
      </c>
      <c r="M48" s="1"/>
      <c r="N48" s="5">
        <f t="shared" ref="N48:N56" si="31">IF(H48=0,0,L48/H48)</f>
        <v>0</v>
      </c>
      <c r="O48" s="14"/>
      <c r="P48" s="1">
        <f>SUM(OSRRefP22_2x_0)</f>
        <v>723.29</v>
      </c>
      <c r="Q48" s="1"/>
      <c r="R48" s="5">
        <f t="shared" ref="R48:R56" si="32">IF(P$12=0,0,P48/P$12)</f>
        <v>1.8900325548432549E-3</v>
      </c>
      <c r="S48" s="1"/>
      <c r="T48" s="1">
        <f>SUM(OSRRefT22_2x_0)</f>
        <v>0</v>
      </c>
      <c r="U48" s="1"/>
      <c r="V48" s="5">
        <f t="shared" ref="V48:V56" si="33">IF(T$12=0,0,T48/T$12)</f>
        <v>0</v>
      </c>
      <c r="W48" s="1"/>
      <c r="X48" s="1">
        <f t="shared" ref="X48:X56" si="34">+P48-T48</f>
        <v>723.29</v>
      </c>
      <c r="Y48" s="1"/>
      <c r="Z48" s="5">
        <f t="shared" ref="Z48:Z56" si="35">IF(T48=0,0,X48/T48)</f>
        <v>0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7">
        <v>50.23</v>
      </c>
      <c r="E49" s="2"/>
      <c r="F49" s="6">
        <f t="shared" si="28"/>
        <v>2.7822081582452201E-4</v>
      </c>
      <c r="G49" s="2"/>
      <c r="H49" s="7"/>
      <c r="I49" s="2"/>
      <c r="J49" s="6">
        <f t="shared" si="29"/>
        <v>0</v>
      </c>
      <c r="K49" s="2"/>
      <c r="L49" s="7">
        <f t="shared" si="30"/>
        <v>50.23</v>
      </c>
      <c r="M49" s="2"/>
      <c r="N49" s="6">
        <f t="shared" si="31"/>
        <v>0</v>
      </c>
      <c r="O49" s="11"/>
      <c r="P49" s="7">
        <v>723.29</v>
      </c>
      <c r="Q49" s="2"/>
      <c r="R49" s="6">
        <f t="shared" si="32"/>
        <v>1.8900325548432549E-3</v>
      </c>
      <c r="S49" s="2"/>
      <c r="T49" s="7"/>
      <c r="U49" s="2"/>
      <c r="V49" s="6">
        <f t="shared" si="33"/>
        <v>0</v>
      </c>
      <c r="W49" s="2"/>
      <c r="X49" s="7">
        <f t="shared" si="34"/>
        <v>723.29</v>
      </c>
      <c r="Y49" s="2"/>
      <c r="Z49" s="6">
        <f t="shared" si="35"/>
        <v>0</v>
      </c>
    </row>
    <row r="50" spans="1:26" s="28" customFormat="1" outlineLevel="1" collapsed="1" x14ac:dyDescent="0.25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4.1900000000000004</v>
      </c>
      <c r="E50" s="1"/>
      <c r="F50" s="5">
        <f t="shared" si="28"/>
        <v>2.3208146890399111E-5</v>
      </c>
      <c r="G50" s="1"/>
      <c r="H50" s="1">
        <f>SUM(OSRRefH22_3x_0)</f>
        <v>10</v>
      </c>
      <c r="I50" s="1"/>
      <c r="J50" s="5">
        <f t="shared" si="29"/>
        <v>6.3279925076568708E-5</v>
      </c>
      <c r="K50" s="1"/>
      <c r="L50" s="1">
        <f t="shared" si="30"/>
        <v>-5.81</v>
      </c>
      <c r="M50" s="1"/>
      <c r="N50" s="5">
        <f t="shared" si="31"/>
        <v>-0.58099999999999996</v>
      </c>
      <c r="O50" s="14"/>
      <c r="P50" s="1">
        <f>SUM(OSRRefP22_3x_0)</f>
        <v>-111.1</v>
      </c>
      <c r="Q50" s="1"/>
      <c r="R50" s="5">
        <f t="shared" si="32"/>
        <v>-2.9031594083021417E-4</v>
      </c>
      <c r="S50" s="1"/>
      <c r="T50" s="1">
        <f>SUM(OSRRefT22_3x_0)</f>
        <v>40</v>
      </c>
      <c r="U50" s="1"/>
      <c r="V50" s="5">
        <f t="shared" si="33"/>
        <v>1.2072993317598199E-4</v>
      </c>
      <c r="W50" s="1"/>
      <c r="X50" s="1">
        <f t="shared" si="34"/>
        <v>-151.1</v>
      </c>
      <c r="Y50" s="1"/>
      <c r="Z50" s="5">
        <f t="shared" si="35"/>
        <v>-3.7774999999999999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7">
        <v>4.1900000000000004</v>
      </c>
      <c r="E51" s="2"/>
      <c r="F51" s="6">
        <f t="shared" si="28"/>
        <v>2.3208146890399111E-5</v>
      </c>
      <c r="G51" s="2"/>
      <c r="H51" s="7">
        <v>10</v>
      </c>
      <c r="I51" s="2"/>
      <c r="J51" s="6">
        <f t="shared" si="29"/>
        <v>6.3279925076568708E-5</v>
      </c>
      <c r="K51" s="2"/>
      <c r="L51" s="7">
        <f t="shared" si="30"/>
        <v>-5.81</v>
      </c>
      <c r="M51" s="2"/>
      <c r="N51" s="6">
        <f t="shared" si="31"/>
        <v>-0.58099999999999996</v>
      </c>
      <c r="O51" s="11"/>
      <c r="P51" s="7">
        <v>-111.1</v>
      </c>
      <c r="Q51" s="2"/>
      <c r="R51" s="6">
        <f t="shared" si="32"/>
        <v>-2.9031594083021417E-4</v>
      </c>
      <c r="S51" s="2"/>
      <c r="T51" s="7">
        <v>40</v>
      </c>
      <c r="U51" s="2"/>
      <c r="V51" s="6">
        <f t="shared" si="33"/>
        <v>1.2072993317598199E-4</v>
      </c>
      <c r="W51" s="2"/>
      <c r="X51" s="7">
        <f t="shared" si="34"/>
        <v>-151.1</v>
      </c>
      <c r="Y51" s="2"/>
      <c r="Z51" s="6">
        <f t="shared" si="35"/>
        <v>-3.7774999999999999</v>
      </c>
    </row>
    <row r="52" spans="1:26" s="28" customFormat="1" outlineLevel="1" collapsed="1" x14ac:dyDescent="0.25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6282.4</v>
      </c>
      <c r="E52" s="1"/>
      <c r="F52" s="5">
        <f t="shared" si="28"/>
        <v>3.4797819098864764E-2</v>
      </c>
      <c r="G52" s="1"/>
      <c r="H52" s="1">
        <f>SUM(OSRRefH22_4x_0)</f>
        <v>7537</v>
      </c>
      <c r="I52" s="1"/>
      <c r="J52" s="5">
        <f t="shared" si="29"/>
        <v>4.7694079530209835E-2</v>
      </c>
      <c r="K52" s="1"/>
      <c r="L52" s="1">
        <f t="shared" si="30"/>
        <v>-1254.6000000000004</v>
      </c>
      <c r="M52" s="1"/>
      <c r="N52" s="5">
        <f t="shared" si="31"/>
        <v>-0.1664588032373624</v>
      </c>
      <c r="O52" s="14"/>
      <c r="P52" s="1">
        <f>SUM(OSRRefP22_4x_0)</f>
        <v>14329.11</v>
      </c>
      <c r="Q52" s="1"/>
      <c r="R52" s="5">
        <f t="shared" si="32"/>
        <v>3.7443465804767151E-2</v>
      </c>
      <c r="S52" s="1"/>
      <c r="T52" s="1">
        <f>SUM(OSRRefT22_4x_0)</f>
        <v>17445</v>
      </c>
      <c r="U52" s="1"/>
      <c r="V52" s="5">
        <f t="shared" si="33"/>
        <v>5.2653342106375144E-2</v>
      </c>
      <c r="W52" s="1"/>
      <c r="X52" s="1">
        <f t="shared" si="34"/>
        <v>-3115.8899999999994</v>
      </c>
      <c r="Y52" s="1"/>
      <c r="Z52" s="5">
        <f t="shared" si="35"/>
        <v>-0.17861220980223558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7">
        <v>6282.4</v>
      </c>
      <c r="E53" s="2"/>
      <c r="F53" s="6">
        <f t="shared" si="28"/>
        <v>3.4797819098864764E-2</v>
      </c>
      <c r="G53" s="2"/>
      <c r="H53" s="7">
        <v>7537</v>
      </c>
      <c r="I53" s="2"/>
      <c r="J53" s="6">
        <f t="shared" si="29"/>
        <v>4.7694079530209835E-2</v>
      </c>
      <c r="K53" s="2"/>
      <c r="L53" s="7">
        <f t="shared" si="30"/>
        <v>-1254.6000000000004</v>
      </c>
      <c r="M53" s="2"/>
      <c r="N53" s="6">
        <f t="shared" si="31"/>
        <v>-0.1664588032373624</v>
      </c>
      <c r="O53" s="11"/>
      <c r="P53" s="7">
        <v>14329.11</v>
      </c>
      <c r="Q53" s="2"/>
      <c r="R53" s="6">
        <f t="shared" si="32"/>
        <v>3.7443465804767151E-2</v>
      </c>
      <c r="S53" s="2"/>
      <c r="T53" s="7">
        <v>17445</v>
      </c>
      <c r="U53" s="2"/>
      <c r="V53" s="6">
        <f t="shared" si="33"/>
        <v>5.2653342106375144E-2</v>
      </c>
      <c r="W53" s="2"/>
      <c r="X53" s="7">
        <f t="shared" si="34"/>
        <v>-3115.8899999999994</v>
      </c>
      <c r="Y53" s="2"/>
      <c r="Z53" s="6">
        <f t="shared" si="35"/>
        <v>-0.17861220980223558</v>
      </c>
    </row>
    <row r="54" spans="1:26" s="28" customFormat="1" outlineLevel="1" collapsed="1" x14ac:dyDescent="0.25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32782.04</v>
      </c>
      <c r="E54" s="1"/>
      <c r="F54" s="5">
        <f t="shared" si="28"/>
        <v>0.18157766102313586</v>
      </c>
      <c r="G54" s="1"/>
      <c r="H54" s="1">
        <f>SUM(OSRRefH22_5x_0)</f>
        <v>32783</v>
      </c>
      <c r="I54" s="1"/>
      <c r="J54" s="5">
        <f t="shared" si="29"/>
        <v>0.20745057837851519</v>
      </c>
      <c r="K54" s="1"/>
      <c r="L54" s="1">
        <f t="shared" si="30"/>
        <v>-0.95999999999912689</v>
      </c>
      <c r="M54" s="1"/>
      <c r="N54" s="5">
        <f t="shared" si="31"/>
        <v>-2.9283470091179176E-5</v>
      </c>
      <c r="O54" s="14"/>
      <c r="P54" s="1">
        <f>SUM(OSRRefP22_5x_0)</f>
        <v>131216.29999999999</v>
      </c>
      <c r="Q54" s="1"/>
      <c r="R54" s="5">
        <f t="shared" si="32"/>
        <v>0.34288194047488418</v>
      </c>
      <c r="S54" s="1"/>
      <c r="T54" s="1">
        <f>SUM(OSRRefT22_5x_0)</f>
        <v>131220</v>
      </c>
      <c r="U54" s="1"/>
      <c r="V54" s="5">
        <f t="shared" si="33"/>
        <v>0.39605454578380889</v>
      </c>
      <c r="W54" s="1"/>
      <c r="X54" s="1">
        <f t="shared" si="34"/>
        <v>-3.7000000000116415</v>
      </c>
      <c r="Y54" s="1"/>
      <c r="Z54" s="5">
        <f t="shared" si="35"/>
        <v>-2.8196921201125146E-5</v>
      </c>
    </row>
    <row r="55" spans="1:26" s="24" customFormat="1" hidden="1" outlineLevel="2" x14ac:dyDescent="0.25">
      <c r="A55" s="27"/>
      <c r="B55" s="11" t="str">
        <f>CONCATENATE("          ", "6321", " - ", "BUILDING DEPRECIATION")</f>
        <v xml:space="preserve">          6321 - BUILDING DEPRECIATION</v>
      </c>
      <c r="C55" s="11"/>
      <c r="D55" s="7">
        <v>23539.4</v>
      </c>
      <c r="E55" s="2"/>
      <c r="F55" s="6">
        <f t="shared" si="28"/>
        <v>0.1303832584515181</v>
      </c>
      <c r="G55" s="2"/>
      <c r="H55" s="7"/>
      <c r="I55" s="2"/>
      <c r="J55" s="6">
        <f t="shared" si="29"/>
        <v>0</v>
      </c>
      <c r="K55" s="2"/>
      <c r="L55" s="7">
        <f t="shared" si="30"/>
        <v>23539.4</v>
      </c>
      <c r="M55" s="2"/>
      <c r="N55" s="6">
        <f t="shared" si="31"/>
        <v>0</v>
      </c>
      <c r="O55" s="11"/>
      <c r="P55" s="7">
        <v>94245.74</v>
      </c>
      <c r="Q55" s="2"/>
      <c r="R55" s="6">
        <f t="shared" si="32"/>
        <v>0.24627399349540732</v>
      </c>
      <c r="S55" s="2"/>
      <c r="T55" s="7"/>
      <c r="U55" s="2"/>
      <c r="V55" s="6">
        <f t="shared" si="33"/>
        <v>0</v>
      </c>
      <c r="W55" s="2"/>
      <c r="X55" s="7">
        <f t="shared" si="34"/>
        <v>94245.74</v>
      </c>
      <c r="Y55" s="2"/>
      <c r="Z55" s="6">
        <f t="shared" si="35"/>
        <v>0</v>
      </c>
    </row>
    <row r="56" spans="1:26" s="24" customFormat="1" hidden="1" outlineLevel="2" x14ac:dyDescent="0.25">
      <c r="A56" s="27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9242.64</v>
      </c>
      <c r="E56" s="2"/>
      <c r="F56" s="6">
        <f t="shared" si="28"/>
        <v>5.119440257161776E-2</v>
      </c>
      <c r="G56" s="2"/>
      <c r="H56" s="7">
        <v>32783</v>
      </c>
      <c r="I56" s="2"/>
      <c r="J56" s="6">
        <f t="shared" si="29"/>
        <v>0.20745057837851519</v>
      </c>
      <c r="K56" s="2"/>
      <c r="L56" s="7">
        <f t="shared" si="30"/>
        <v>-23540.36</v>
      </c>
      <c r="M56" s="2"/>
      <c r="N56" s="6">
        <f t="shared" si="31"/>
        <v>-0.71806607082939333</v>
      </c>
      <c r="O56" s="11"/>
      <c r="P56" s="7">
        <v>36970.559999999998</v>
      </c>
      <c r="Q56" s="2"/>
      <c r="R56" s="6">
        <f t="shared" si="32"/>
        <v>9.6607946979476902E-2</v>
      </c>
      <c r="S56" s="2"/>
      <c r="T56" s="7">
        <v>131220</v>
      </c>
      <c r="U56" s="2"/>
      <c r="V56" s="6">
        <f t="shared" si="33"/>
        <v>0.39605454578380889</v>
      </c>
      <c r="W56" s="2"/>
      <c r="X56" s="7">
        <f t="shared" si="34"/>
        <v>-94249.44</v>
      </c>
      <c r="Y56" s="2"/>
      <c r="Z56" s="6">
        <f t="shared" si="35"/>
        <v>-0.71825514403292179</v>
      </c>
    </row>
    <row r="57" spans="1:26" s="28" customFormat="1" outlineLevel="1" collapsed="1" x14ac:dyDescent="0.25">
      <c r="A57" s="29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SUM(OSRRefD22_6x_0)</f>
        <v>123.17</v>
      </c>
      <c r="E57" s="1"/>
      <c r="F57" s="5">
        <f t="shared" ref="F57:F72" si="36">IF(D$12=0,0,D57/D$12)</f>
        <v>6.8223089558244829E-4</v>
      </c>
      <c r="G57" s="1"/>
      <c r="H57" s="1">
        <f>SUM(OSRRefH22_6x_0)</f>
        <v>40</v>
      </c>
      <c r="I57" s="1"/>
      <c r="J57" s="5">
        <f t="shared" ref="J57:J72" si="37">IF(H$12=0,0,H57/H$12)</f>
        <v>2.5311970030627483E-4</v>
      </c>
      <c r="K57" s="1"/>
      <c r="L57" s="1">
        <f t="shared" ref="L57:L72" si="38">+D57-H57</f>
        <v>83.17</v>
      </c>
      <c r="M57" s="1"/>
      <c r="N57" s="5">
        <f t="shared" ref="N57:N72" si="39">IF(H57=0,0,L57/H57)</f>
        <v>2.07925</v>
      </c>
      <c r="O57" s="14"/>
      <c r="P57" s="1">
        <f>SUM(OSRRefP22_6x_0)</f>
        <v>141.16999999999999</v>
      </c>
      <c r="Q57" s="1"/>
      <c r="R57" s="5">
        <f t="shared" ref="R57:R72" si="40">IF(P$12=0,0,P57/P$12)</f>
        <v>3.6889200150316235E-4</v>
      </c>
      <c r="S57" s="1"/>
      <c r="T57" s="1">
        <f>SUM(OSRRefT22_6x_0)</f>
        <v>80</v>
      </c>
      <c r="U57" s="1"/>
      <c r="V57" s="5">
        <f t="shared" ref="V57:V72" si="41">IF(T$12=0,0,T57/T$12)</f>
        <v>2.4145986635196398E-4</v>
      </c>
      <c r="W57" s="1"/>
      <c r="X57" s="1">
        <f t="shared" ref="X57:X72" si="42">+P57-T57</f>
        <v>61.169999999999987</v>
      </c>
      <c r="Y57" s="1"/>
      <c r="Z57" s="5">
        <f t="shared" ref="Z57:Z72" si="43">IF(T57=0,0,X57/T57)</f>
        <v>0.76462499999999989</v>
      </c>
    </row>
    <row r="58" spans="1:26" s="24" customFormat="1" hidden="1" outlineLevel="2" x14ac:dyDescent="0.25">
      <c r="A58" s="27"/>
      <c r="B58" s="11" t="str">
        <f>CONCATENATE("          ", "6277", " - ", "EMPLOYEE APPRECIATION")</f>
        <v xml:space="preserve">          6277 - EMPLOYEE APPRECIATION</v>
      </c>
      <c r="C58" s="11"/>
      <c r="D58" s="7">
        <v>123.17</v>
      </c>
      <c r="E58" s="2"/>
      <c r="F58" s="6">
        <f t="shared" si="36"/>
        <v>6.8223089558244829E-4</v>
      </c>
      <c r="G58" s="2"/>
      <c r="H58" s="7">
        <v>40</v>
      </c>
      <c r="I58" s="2"/>
      <c r="J58" s="6">
        <f t="shared" si="37"/>
        <v>2.5311970030627483E-4</v>
      </c>
      <c r="K58" s="2"/>
      <c r="L58" s="7">
        <f t="shared" si="38"/>
        <v>83.17</v>
      </c>
      <c r="M58" s="2"/>
      <c r="N58" s="6">
        <f t="shared" si="39"/>
        <v>2.07925</v>
      </c>
      <c r="O58" s="11"/>
      <c r="P58" s="7">
        <v>141.16999999999999</v>
      </c>
      <c r="Q58" s="2"/>
      <c r="R58" s="6">
        <f t="shared" si="40"/>
        <v>3.6889200150316235E-4</v>
      </c>
      <c r="S58" s="2"/>
      <c r="T58" s="7">
        <v>80</v>
      </c>
      <c r="U58" s="2"/>
      <c r="V58" s="6">
        <f t="shared" si="41"/>
        <v>2.4145986635196398E-4</v>
      </c>
      <c r="W58" s="2"/>
      <c r="X58" s="7">
        <f t="shared" si="42"/>
        <v>61.169999999999987</v>
      </c>
      <c r="Y58" s="2"/>
      <c r="Z58" s="6">
        <f t="shared" si="43"/>
        <v>0.76462499999999989</v>
      </c>
    </row>
    <row r="59" spans="1:26" s="28" customFormat="1" outlineLevel="1" collapsed="1" x14ac:dyDescent="0.25">
      <c r="A59" s="29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SUM(OSRRefD22_7x_0)</f>
        <v>1125.7</v>
      </c>
      <c r="E59" s="1"/>
      <c r="F59" s="5">
        <f t="shared" si="36"/>
        <v>6.2351816120578231E-3</v>
      </c>
      <c r="G59" s="1"/>
      <c r="H59" s="1">
        <f>SUM(OSRRefH22_7x_0)</f>
        <v>775</v>
      </c>
      <c r="I59" s="1"/>
      <c r="J59" s="5">
        <f t="shared" si="37"/>
        <v>4.9041941934340749E-3</v>
      </c>
      <c r="K59" s="1"/>
      <c r="L59" s="1">
        <f t="shared" si="38"/>
        <v>350.70000000000005</v>
      </c>
      <c r="M59" s="1"/>
      <c r="N59" s="5">
        <f t="shared" si="39"/>
        <v>0.45251612903225813</v>
      </c>
      <c r="O59" s="14"/>
      <c r="P59" s="1">
        <f>SUM(OSRRefP22_7x_0)</f>
        <v>2924.41</v>
      </c>
      <c r="Q59" s="1"/>
      <c r="R59" s="5">
        <f t="shared" si="40"/>
        <v>7.6417897436839482E-3</v>
      </c>
      <c r="S59" s="1"/>
      <c r="T59" s="1">
        <f>SUM(OSRRefT22_7x_0)</f>
        <v>3100</v>
      </c>
      <c r="U59" s="1"/>
      <c r="V59" s="5">
        <f t="shared" si="41"/>
        <v>9.3565698211386036E-3</v>
      </c>
      <c r="W59" s="1"/>
      <c r="X59" s="1">
        <f t="shared" si="42"/>
        <v>-175.59000000000015</v>
      </c>
      <c r="Y59" s="1"/>
      <c r="Z59" s="5">
        <f t="shared" si="43"/>
        <v>-5.6641935483871017E-2</v>
      </c>
    </row>
    <row r="60" spans="1:26" s="24" customFormat="1" hidden="1" outlineLevel="2" x14ac:dyDescent="0.25">
      <c r="A60" s="27"/>
      <c r="B60" s="11" t="str">
        <f>CONCATENATE("          ", "6351", " - ", "EQUIPMENT RENTAL")</f>
        <v xml:space="preserve">          6351 - EQUIPMENT RENTAL</v>
      </c>
      <c r="C60" s="11"/>
      <c r="D60" s="7">
        <v>1125.7</v>
      </c>
      <c r="E60" s="2"/>
      <c r="F60" s="6">
        <f t="shared" si="36"/>
        <v>6.2351816120578231E-3</v>
      </c>
      <c r="G60" s="2"/>
      <c r="H60" s="7">
        <v>775</v>
      </c>
      <c r="I60" s="2"/>
      <c r="J60" s="6">
        <f t="shared" si="37"/>
        <v>4.9041941934340749E-3</v>
      </c>
      <c r="K60" s="2"/>
      <c r="L60" s="7">
        <f t="shared" si="38"/>
        <v>350.70000000000005</v>
      </c>
      <c r="M60" s="2"/>
      <c r="N60" s="6">
        <f t="shared" si="39"/>
        <v>0.45251612903225813</v>
      </c>
      <c r="O60" s="11"/>
      <c r="P60" s="7">
        <v>2924.41</v>
      </c>
      <c r="Q60" s="2"/>
      <c r="R60" s="6">
        <f t="shared" si="40"/>
        <v>7.6417897436839482E-3</v>
      </c>
      <c r="S60" s="2"/>
      <c r="T60" s="7">
        <v>3100</v>
      </c>
      <c r="U60" s="2"/>
      <c r="V60" s="6">
        <f t="shared" si="41"/>
        <v>9.3565698211386036E-3</v>
      </c>
      <c r="W60" s="2"/>
      <c r="X60" s="7">
        <f t="shared" si="42"/>
        <v>-175.59000000000015</v>
      </c>
      <c r="Y60" s="2"/>
      <c r="Z60" s="6">
        <f t="shared" si="43"/>
        <v>-5.6641935483871017E-2</v>
      </c>
    </row>
    <row r="61" spans="1:26" s="28" customFormat="1" outlineLevel="1" collapsed="1" x14ac:dyDescent="0.25">
      <c r="A61" s="29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SUM(OSRRefD22_8x_0)</f>
        <v>1768.05</v>
      </c>
      <c r="E61" s="1"/>
      <c r="F61" s="5">
        <f t="shared" si="36"/>
        <v>9.793117925911728E-3</v>
      </c>
      <c r="G61" s="1"/>
      <c r="H61" s="1">
        <f>SUM(OSRRefH22_8x_0)</f>
        <v>0</v>
      </c>
      <c r="I61" s="1"/>
      <c r="J61" s="5">
        <f t="shared" si="37"/>
        <v>0</v>
      </c>
      <c r="K61" s="1"/>
      <c r="L61" s="1">
        <f t="shared" si="38"/>
        <v>1768.05</v>
      </c>
      <c r="M61" s="1"/>
      <c r="N61" s="5">
        <f t="shared" si="39"/>
        <v>0</v>
      </c>
      <c r="O61" s="14"/>
      <c r="P61" s="1">
        <f>SUM(OSRRefP22_8x_0)</f>
        <v>14090.26</v>
      </c>
      <c r="Q61" s="1"/>
      <c r="R61" s="5">
        <f t="shared" si="40"/>
        <v>3.6819325728553863E-2</v>
      </c>
      <c r="S61" s="1"/>
      <c r="T61" s="1">
        <f>SUM(OSRRefT22_8x_0)</f>
        <v>3235</v>
      </c>
      <c r="U61" s="1"/>
      <c r="V61" s="5">
        <f t="shared" si="41"/>
        <v>9.7640333456075427E-3</v>
      </c>
      <c r="W61" s="1"/>
      <c r="X61" s="1">
        <f t="shared" si="42"/>
        <v>10855.26</v>
      </c>
      <c r="Y61" s="1"/>
      <c r="Z61" s="5">
        <f t="shared" si="43"/>
        <v>3.3555672333848534</v>
      </c>
    </row>
    <row r="62" spans="1:26" s="24" customFormat="1" hidden="1" outlineLevel="2" x14ac:dyDescent="0.25">
      <c r="A62" s="27"/>
      <c r="B62" s="11" t="str">
        <f>CONCATENATE("          ", "6279", " - ", "GENERAL EXPENSE")</f>
        <v xml:space="preserve">          6279 - GENERAL EXPENSE</v>
      </c>
      <c r="C62" s="11"/>
      <c r="D62" s="7">
        <v>1768.05</v>
      </c>
      <c r="E62" s="2"/>
      <c r="F62" s="6">
        <f t="shared" si="36"/>
        <v>9.793117925911728E-3</v>
      </c>
      <c r="G62" s="2"/>
      <c r="H62" s="7"/>
      <c r="I62" s="2"/>
      <c r="J62" s="6">
        <f t="shared" si="37"/>
        <v>0</v>
      </c>
      <c r="K62" s="2"/>
      <c r="L62" s="7">
        <f t="shared" si="38"/>
        <v>1768.05</v>
      </c>
      <c r="M62" s="2"/>
      <c r="N62" s="6">
        <f t="shared" si="39"/>
        <v>0</v>
      </c>
      <c r="O62" s="11"/>
      <c r="P62" s="7">
        <v>14090.26</v>
      </c>
      <c r="Q62" s="2"/>
      <c r="R62" s="6">
        <f t="shared" si="40"/>
        <v>3.6819325728553863E-2</v>
      </c>
      <c r="S62" s="2"/>
      <c r="T62" s="7">
        <v>3235</v>
      </c>
      <c r="U62" s="2"/>
      <c r="V62" s="6">
        <f t="shared" si="41"/>
        <v>9.7640333456075427E-3</v>
      </c>
      <c r="W62" s="2"/>
      <c r="X62" s="7">
        <f t="shared" si="42"/>
        <v>10855.26</v>
      </c>
      <c r="Y62" s="2"/>
      <c r="Z62" s="6">
        <f t="shared" si="43"/>
        <v>3.3555672333848534</v>
      </c>
    </row>
    <row r="63" spans="1:26" s="28" customFormat="1" outlineLevel="1" collapsed="1" x14ac:dyDescent="0.25">
      <c r="A63" s="29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SUM(OSRRefD22_9x_0)</f>
        <v>12639.21</v>
      </c>
      <c r="E63" s="1"/>
      <c r="F63" s="5">
        <f t="shared" si="36"/>
        <v>7.0007790515179302E-2</v>
      </c>
      <c r="G63" s="1"/>
      <c r="H63" s="1">
        <f>SUM(OSRRefH22_9x_0)</f>
        <v>5670</v>
      </c>
      <c r="I63" s="1"/>
      <c r="J63" s="5">
        <f t="shared" si="37"/>
        <v>3.5879717518414456E-2</v>
      </c>
      <c r="K63" s="1"/>
      <c r="L63" s="1">
        <f t="shared" si="38"/>
        <v>6969.2099999999991</v>
      </c>
      <c r="M63" s="1"/>
      <c r="N63" s="5">
        <f t="shared" si="39"/>
        <v>1.2291375661375661</v>
      </c>
      <c r="O63" s="14"/>
      <c r="P63" s="1">
        <f>SUM(OSRRefP22_9x_0)</f>
        <v>29907.84</v>
      </c>
      <c r="Q63" s="1"/>
      <c r="R63" s="5">
        <f t="shared" si="40"/>
        <v>7.8152319602155837E-2</v>
      </c>
      <c r="S63" s="1"/>
      <c r="T63" s="1">
        <f>SUM(OSRRefT22_9x_0)</f>
        <v>22680</v>
      </c>
      <c r="U63" s="1"/>
      <c r="V63" s="5">
        <f t="shared" si="41"/>
        <v>6.8453872110781785E-2</v>
      </c>
      <c r="W63" s="1"/>
      <c r="X63" s="1">
        <f t="shared" si="42"/>
        <v>7227.84</v>
      </c>
      <c r="Y63" s="1"/>
      <c r="Z63" s="5">
        <f t="shared" si="43"/>
        <v>0.31868783068783069</v>
      </c>
    </row>
    <row r="64" spans="1:26" s="24" customFormat="1" hidden="1" outlineLevel="2" x14ac:dyDescent="0.25">
      <c r="A64" s="27"/>
      <c r="B64" s="11" t="str">
        <f>CONCATENATE("          ", "6314", " - ", "LIABILITY INSURANCE")</f>
        <v xml:space="preserve">          6314 - LIABILITY INSURANCE</v>
      </c>
      <c r="C64" s="11"/>
      <c r="D64" s="7">
        <v>12639.21</v>
      </c>
      <c r="E64" s="2"/>
      <c r="F64" s="6">
        <f t="shared" si="36"/>
        <v>7.0007790515179302E-2</v>
      </c>
      <c r="G64" s="2"/>
      <c r="H64" s="7">
        <v>5670</v>
      </c>
      <c r="I64" s="2"/>
      <c r="J64" s="6">
        <f t="shared" si="37"/>
        <v>3.5879717518414456E-2</v>
      </c>
      <c r="K64" s="2"/>
      <c r="L64" s="7">
        <f t="shared" si="38"/>
        <v>6969.2099999999991</v>
      </c>
      <c r="M64" s="2"/>
      <c r="N64" s="6">
        <f t="shared" si="39"/>
        <v>1.2291375661375661</v>
      </c>
      <c r="O64" s="11"/>
      <c r="P64" s="7">
        <v>29907.84</v>
      </c>
      <c r="Q64" s="2"/>
      <c r="R64" s="6">
        <f t="shared" si="40"/>
        <v>7.8152319602155837E-2</v>
      </c>
      <c r="S64" s="2"/>
      <c r="T64" s="7">
        <v>22680</v>
      </c>
      <c r="U64" s="2"/>
      <c r="V64" s="6">
        <f t="shared" si="41"/>
        <v>6.8453872110781785E-2</v>
      </c>
      <c r="W64" s="2"/>
      <c r="X64" s="7">
        <f t="shared" si="42"/>
        <v>7227.84</v>
      </c>
      <c r="Y64" s="2"/>
      <c r="Z64" s="6">
        <f t="shared" si="43"/>
        <v>0.31868783068783069</v>
      </c>
    </row>
    <row r="65" spans="1:26" s="28" customFormat="1" outlineLevel="1" collapsed="1" x14ac:dyDescent="0.25">
      <c r="A65" s="29"/>
      <c r="B65" s="14" t="str">
        <f>CONCATENATE("     ","Interest                                          ")</f>
        <v xml:space="preserve">     Interest                                          </v>
      </c>
      <c r="C65" s="14"/>
      <c r="D65" s="1">
        <f>SUM(OSRRefD22_10x_0)</f>
        <v>6739</v>
      </c>
      <c r="E65" s="1"/>
      <c r="F65" s="5">
        <f t="shared" si="36"/>
        <v>3.7326897826825675E-2</v>
      </c>
      <c r="G65" s="1"/>
      <c r="H65" s="1">
        <f>SUM(OSRRefH22_10x_0)</f>
        <v>7253</v>
      </c>
      <c r="I65" s="1"/>
      <c r="J65" s="5">
        <f t="shared" si="37"/>
        <v>4.5896929658035282E-2</v>
      </c>
      <c r="K65" s="1"/>
      <c r="L65" s="1">
        <f t="shared" si="38"/>
        <v>-514</v>
      </c>
      <c r="M65" s="1"/>
      <c r="N65" s="5">
        <f t="shared" si="39"/>
        <v>-7.0867227354198259E-2</v>
      </c>
      <c r="O65" s="14"/>
      <c r="P65" s="1">
        <f>SUM(OSRRefP22_10x_0)</f>
        <v>28498</v>
      </c>
      <c r="Q65" s="1"/>
      <c r="R65" s="5">
        <f t="shared" si="40"/>
        <v>7.4468259962011202E-2</v>
      </c>
      <c r="S65" s="1"/>
      <c r="T65" s="1">
        <f>SUM(OSRRefT22_10x_0)</f>
        <v>29012</v>
      </c>
      <c r="U65" s="1"/>
      <c r="V65" s="5">
        <f t="shared" si="41"/>
        <v>8.7565420532539739E-2</v>
      </c>
      <c r="W65" s="1"/>
      <c r="X65" s="1">
        <f t="shared" si="42"/>
        <v>-514</v>
      </c>
      <c r="Y65" s="1"/>
      <c r="Z65" s="5">
        <f t="shared" si="43"/>
        <v>-1.7716806838549565E-2</v>
      </c>
    </row>
    <row r="66" spans="1:26" s="24" customFormat="1" hidden="1" outlineLevel="2" x14ac:dyDescent="0.25">
      <c r="A66" s="27"/>
      <c r="B66" s="11" t="str">
        <f>CONCATENATE("          ", "6401", " - ", "INTEREST EXPENSE")</f>
        <v xml:space="preserve">          6401 - INTEREST EXPENSE</v>
      </c>
      <c r="C66" s="11"/>
      <c r="D66" s="7">
        <v>6739</v>
      </c>
      <c r="E66" s="2"/>
      <c r="F66" s="6">
        <f t="shared" si="36"/>
        <v>3.7326897826825675E-2</v>
      </c>
      <c r="G66" s="2"/>
      <c r="H66" s="7">
        <v>7253</v>
      </c>
      <c r="I66" s="2"/>
      <c r="J66" s="6">
        <f t="shared" si="37"/>
        <v>4.5896929658035282E-2</v>
      </c>
      <c r="K66" s="2"/>
      <c r="L66" s="7">
        <f t="shared" si="38"/>
        <v>-514</v>
      </c>
      <c r="M66" s="2"/>
      <c r="N66" s="6">
        <f t="shared" si="39"/>
        <v>-7.0867227354198259E-2</v>
      </c>
      <c r="O66" s="11"/>
      <c r="P66" s="7">
        <v>28498</v>
      </c>
      <c r="Q66" s="2"/>
      <c r="R66" s="6">
        <f t="shared" si="40"/>
        <v>7.4468259962011202E-2</v>
      </c>
      <c r="S66" s="2"/>
      <c r="T66" s="7">
        <v>29012</v>
      </c>
      <c r="U66" s="2"/>
      <c r="V66" s="6">
        <f t="shared" si="41"/>
        <v>8.7565420532539739E-2</v>
      </c>
      <c r="W66" s="2"/>
      <c r="X66" s="7">
        <f t="shared" si="42"/>
        <v>-514</v>
      </c>
      <c r="Y66" s="2"/>
      <c r="Z66" s="6">
        <f t="shared" si="43"/>
        <v>-1.7716806838549565E-2</v>
      </c>
    </row>
    <row r="67" spans="1:26" s="28" customFormat="1" outlineLevel="1" collapsed="1" x14ac:dyDescent="0.25">
      <c r="A67" s="29"/>
      <c r="B67" s="14" t="str">
        <f>CONCATENATE("     ","Rent                                              ")</f>
        <v xml:space="preserve">     Rent                                              </v>
      </c>
      <c r="C67" s="14"/>
      <c r="D67" s="1">
        <f>SUM(OSRRefD22_11x_0)</f>
        <v>1850</v>
      </c>
      <c r="E67" s="1"/>
      <c r="F67" s="5">
        <f t="shared" si="36"/>
        <v>1.0247033829889821E-2</v>
      </c>
      <c r="G67" s="1"/>
      <c r="H67" s="1">
        <f>SUM(OSRRefH22_11x_0)</f>
        <v>1850</v>
      </c>
      <c r="I67" s="1"/>
      <c r="J67" s="5">
        <f t="shared" si="37"/>
        <v>1.1706786139165211E-2</v>
      </c>
      <c r="K67" s="1"/>
      <c r="L67" s="1">
        <f t="shared" si="38"/>
        <v>0</v>
      </c>
      <c r="M67" s="1"/>
      <c r="N67" s="5">
        <f t="shared" si="39"/>
        <v>0</v>
      </c>
      <c r="O67" s="14"/>
      <c r="P67" s="1">
        <f>SUM(OSRRefP22_11x_0)</f>
        <v>7400</v>
      </c>
      <c r="Q67" s="1"/>
      <c r="R67" s="5">
        <f t="shared" si="40"/>
        <v>1.9336975356827948E-2</v>
      </c>
      <c r="S67" s="1"/>
      <c r="T67" s="1">
        <f>SUM(OSRRefT22_11x_0)</f>
        <v>7400</v>
      </c>
      <c r="U67" s="1"/>
      <c r="V67" s="5">
        <f t="shared" si="41"/>
        <v>2.2335037637556669E-2</v>
      </c>
      <c r="W67" s="1"/>
      <c r="X67" s="1">
        <f t="shared" si="42"/>
        <v>0</v>
      </c>
      <c r="Y67" s="1"/>
      <c r="Z67" s="5">
        <f t="shared" si="43"/>
        <v>0</v>
      </c>
    </row>
    <row r="68" spans="1:26" s="24" customFormat="1" hidden="1" outlineLevel="2" x14ac:dyDescent="0.25">
      <c r="A68" s="27"/>
      <c r="B68" s="11" t="str">
        <f>CONCATENATE("          ", "6273", " - ", "RENT")</f>
        <v xml:space="preserve">          6273 - RENT</v>
      </c>
      <c r="C68" s="11"/>
      <c r="D68" s="7">
        <v>1850</v>
      </c>
      <c r="E68" s="2"/>
      <c r="F68" s="6">
        <f t="shared" si="36"/>
        <v>1.0247033829889821E-2</v>
      </c>
      <c r="G68" s="2"/>
      <c r="H68" s="7">
        <v>1850</v>
      </c>
      <c r="I68" s="2"/>
      <c r="J68" s="6">
        <f t="shared" si="37"/>
        <v>1.1706786139165211E-2</v>
      </c>
      <c r="K68" s="2"/>
      <c r="L68" s="7">
        <f t="shared" si="38"/>
        <v>0</v>
      </c>
      <c r="M68" s="2"/>
      <c r="N68" s="6">
        <f t="shared" si="39"/>
        <v>0</v>
      </c>
      <c r="O68" s="11"/>
      <c r="P68" s="7">
        <v>7400</v>
      </c>
      <c r="Q68" s="2"/>
      <c r="R68" s="6">
        <f t="shared" si="40"/>
        <v>1.9336975356827948E-2</v>
      </c>
      <c r="S68" s="2"/>
      <c r="T68" s="7">
        <v>7400</v>
      </c>
      <c r="U68" s="2"/>
      <c r="V68" s="6">
        <f t="shared" si="41"/>
        <v>2.2335037637556669E-2</v>
      </c>
      <c r="W68" s="2"/>
      <c r="X68" s="7">
        <f t="shared" si="42"/>
        <v>0</v>
      </c>
      <c r="Y68" s="2"/>
      <c r="Z68" s="6">
        <f t="shared" si="43"/>
        <v>0</v>
      </c>
    </row>
    <row r="69" spans="1:26" s="28" customFormat="1" outlineLevel="1" collapsed="1" x14ac:dyDescent="0.25">
      <c r="A69" s="29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SUM(OSRRefD22_12x_0)</f>
        <v>7679.84</v>
      </c>
      <c r="E69" s="1"/>
      <c r="F69" s="5">
        <f t="shared" si="36"/>
        <v>4.2538151507103265E-2</v>
      </c>
      <c r="G69" s="1"/>
      <c r="H69" s="1">
        <f>SUM(OSRRefH22_12x_0)</f>
        <v>3415</v>
      </c>
      <c r="I69" s="1"/>
      <c r="J69" s="5">
        <f t="shared" si="37"/>
        <v>2.1610094413648213E-2</v>
      </c>
      <c r="K69" s="1"/>
      <c r="L69" s="1">
        <f t="shared" si="38"/>
        <v>4264.84</v>
      </c>
      <c r="M69" s="1"/>
      <c r="N69" s="5">
        <f t="shared" si="39"/>
        <v>1.2488550512445096</v>
      </c>
      <c r="O69" s="14"/>
      <c r="P69" s="1">
        <f>SUM(OSRRefP22_12x_0)</f>
        <v>36511.46</v>
      </c>
      <c r="Q69" s="1"/>
      <c r="R69" s="5">
        <f t="shared" si="40"/>
        <v>9.540827057592019E-2</v>
      </c>
      <c r="S69" s="1"/>
      <c r="T69" s="1">
        <f>SUM(OSRRefT22_12x_0)</f>
        <v>19790</v>
      </c>
      <c r="U69" s="1"/>
      <c r="V69" s="5">
        <f t="shared" si="41"/>
        <v>5.9731134438817085E-2</v>
      </c>
      <c r="W69" s="1"/>
      <c r="X69" s="1">
        <f t="shared" si="42"/>
        <v>16721.46</v>
      </c>
      <c r="Y69" s="1"/>
      <c r="Z69" s="5">
        <f t="shared" si="43"/>
        <v>0.84494492167761492</v>
      </c>
    </row>
    <row r="70" spans="1:26" s="24" customFormat="1" hidden="1" outlineLevel="2" x14ac:dyDescent="0.25">
      <c r="A70" s="27"/>
      <c r="B70" s="11" t="str">
        <f>CONCATENATE("          ", "6371", " - ", "COMPUTER SOFTWARE MAINTENANCE")</f>
        <v xml:space="preserve">          6371 - COMPUTER SOFTWARE MAINTENANCE</v>
      </c>
      <c r="C70" s="11"/>
      <c r="D70" s="7">
        <v>159.68</v>
      </c>
      <c r="E70" s="2"/>
      <c r="F70" s="6">
        <f t="shared" si="36"/>
        <v>8.844574929496253E-4</v>
      </c>
      <c r="G70" s="2"/>
      <c r="H70" s="7"/>
      <c r="I70" s="2"/>
      <c r="J70" s="6">
        <f t="shared" si="37"/>
        <v>0</v>
      </c>
      <c r="K70" s="2"/>
      <c r="L70" s="7">
        <f t="shared" si="38"/>
        <v>159.68</v>
      </c>
      <c r="M70" s="2"/>
      <c r="N70" s="6">
        <f t="shared" si="39"/>
        <v>0</v>
      </c>
      <c r="O70" s="11"/>
      <c r="P70" s="7">
        <v>5337.4</v>
      </c>
      <c r="Q70" s="2"/>
      <c r="R70" s="6">
        <f t="shared" si="40"/>
        <v>1.3947185441828849E-2</v>
      </c>
      <c r="S70" s="2"/>
      <c r="T70" s="7"/>
      <c r="U70" s="2"/>
      <c r="V70" s="6">
        <f t="shared" si="41"/>
        <v>0</v>
      </c>
      <c r="W70" s="2"/>
      <c r="X70" s="7">
        <f t="shared" si="42"/>
        <v>5337.4</v>
      </c>
      <c r="Y70" s="2"/>
      <c r="Z70" s="6">
        <f t="shared" si="43"/>
        <v>0</v>
      </c>
    </row>
    <row r="71" spans="1:26" s="24" customFormat="1" hidden="1" outlineLevel="2" x14ac:dyDescent="0.25">
      <c r="A71" s="27"/>
      <c r="B71" s="11" t="str">
        <f>CONCATENATE("          ", "6373", " - ", "MAINTENANCE CONTRACTS")</f>
        <v xml:space="preserve">          6373 - MAINTENANCE CONTRACTS</v>
      </c>
      <c r="C71" s="11"/>
      <c r="D71" s="7">
        <v>2926.42</v>
      </c>
      <c r="E71" s="2"/>
      <c r="F71" s="6">
        <f t="shared" si="36"/>
        <v>1.6209256616468201E-2</v>
      </c>
      <c r="G71" s="2"/>
      <c r="H71" s="7">
        <v>1030</v>
      </c>
      <c r="I71" s="2"/>
      <c r="J71" s="6">
        <f t="shared" si="37"/>
        <v>6.5178322828865773E-3</v>
      </c>
      <c r="K71" s="2"/>
      <c r="L71" s="7">
        <f t="shared" si="38"/>
        <v>1896.42</v>
      </c>
      <c r="M71" s="2"/>
      <c r="N71" s="6">
        <f t="shared" si="39"/>
        <v>1.8411844660194177</v>
      </c>
      <c r="O71" s="11"/>
      <c r="P71" s="7">
        <v>3813.2</v>
      </c>
      <c r="Q71" s="2"/>
      <c r="R71" s="6">
        <f t="shared" si="40"/>
        <v>9.9642911392778828E-3</v>
      </c>
      <c r="S71" s="2"/>
      <c r="T71" s="7">
        <v>2060</v>
      </c>
      <c r="U71" s="2"/>
      <c r="V71" s="6">
        <f t="shared" si="41"/>
        <v>6.2175915585630723E-3</v>
      </c>
      <c r="W71" s="2"/>
      <c r="X71" s="7">
        <f t="shared" si="42"/>
        <v>1753.1999999999998</v>
      </c>
      <c r="Y71" s="2"/>
      <c r="Z71" s="6">
        <f t="shared" si="43"/>
        <v>0.85106796116504846</v>
      </c>
    </row>
    <row r="72" spans="1:26" s="24" customFormat="1" hidden="1" outlineLevel="2" x14ac:dyDescent="0.25">
      <c r="A72" s="27"/>
      <c r="B72" s="11" t="str">
        <f>CONCATENATE("          ", "6375", " - ", "OUTSIDE REPAIRS &amp; MAINTENANCE")</f>
        <v xml:space="preserve">          6375 - OUTSIDE REPAIRS &amp; MAINTENANCE</v>
      </c>
      <c r="C72" s="11"/>
      <c r="D72" s="7">
        <v>4593.74</v>
      </c>
      <c r="E72" s="2"/>
      <c r="F72" s="6">
        <f t="shared" si="36"/>
        <v>2.544443739768544E-2</v>
      </c>
      <c r="G72" s="2"/>
      <c r="H72" s="7">
        <v>2385</v>
      </c>
      <c r="I72" s="2"/>
      <c r="J72" s="6">
        <f t="shared" si="37"/>
        <v>1.5092262130761638E-2</v>
      </c>
      <c r="K72" s="2"/>
      <c r="L72" s="7">
        <f t="shared" si="38"/>
        <v>2208.7399999999998</v>
      </c>
      <c r="M72" s="2"/>
      <c r="N72" s="6">
        <f t="shared" si="39"/>
        <v>0.92609643605870007</v>
      </c>
      <c r="O72" s="11"/>
      <c r="P72" s="7">
        <v>27360.86</v>
      </c>
      <c r="Q72" s="2"/>
      <c r="R72" s="6">
        <f t="shared" si="40"/>
        <v>7.1496793994813457E-2</v>
      </c>
      <c r="S72" s="2"/>
      <c r="T72" s="7">
        <v>17730</v>
      </c>
      <c r="U72" s="2"/>
      <c r="V72" s="6">
        <f t="shared" si="41"/>
        <v>5.3513542880254013E-2</v>
      </c>
      <c r="W72" s="2"/>
      <c r="X72" s="7">
        <f t="shared" si="42"/>
        <v>9630.86</v>
      </c>
      <c r="Y72" s="2"/>
      <c r="Z72" s="6">
        <f t="shared" si="43"/>
        <v>0.54319571347997753</v>
      </c>
    </row>
    <row r="73" spans="1:26" s="28" customFormat="1" outlineLevel="1" collapsed="1" x14ac:dyDescent="0.25">
      <c r="A73" s="29"/>
      <c r="B73" s="14" t="str">
        <f>CONCATENATE("     ","Royalty &amp; Commissions                             ")</f>
        <v xml:space="preserve">     Royalty &amp; Commissions                             </v>
      </c>
      <c r="C73" s="14"/>
      <c r="D73" s="1">
        <f>SUM(OSRRefD22_13x_0)</f>
        <v>1066.22</v>
      </c>
      <c r="E73" s="1"/>
      <c r="F73" s="5">
        <f t="shared" ref="F73:F80" si="44">IF(D$12=0,0,D73/D$12)</f>
        <v>5.9057256270838515E-3</v>
      </c>
      <c r="G73" s="1"/>
      <c r="H73" s="1">
        <f>SUM(OSRRefH22_13x_0)</f>
        <v>0</v>
      </c>
      <c r="I73" s="1"/>
      <c r="J73" s="5">
        <f t="shared" ref="J73:J80" si="45">IF(H$12=0,0,H73/H$12)</f>
        <v>0</v>
      </c>
      <c r="K73" s="1"/>
      <c r="L73" s="1">
        <f t="shared" ref="L73:L80" si="46">+D73-H73</f>
        <v>1066.22</v>
      </c>
      <c r="M73" s="1"/>
      <c r="N73" s="5">
        <f t="shared" ref="N73:N80" si="47">IF(H73=0,0,L73/H73)</f>
        <v>0</v>
      </c>
      <c r="O73" s="14"/>
      <c r="P73" s="1">
        <f>SUM(OSRRefP22_13x_0)</f>
        <v>1066.22</v>
      </c>
      <c r="Q73" s="1"/>
      <c r="R73" s="5">
        <f t="shared" ref="R73:R80" si="48">IF(P$12=0,0,P73/P$12)</f>
        <v>2.7861445763455537E-3</v>
      </c>
      <c r="S73" s="1"/>
      <c r="T73" s="1">
        <f>SUM(OSRRefT22_13x_0)</f>
        <v>0</v>
      </c>
      <c r="U73" s="1"/>
      <c r="V73" s="5">
        <f t="shared" ref="V73:V80" si="49">IF(T$12=0,0,T73/T$12)</f>
        <v>0</v>
      </c>
      <c r="W73" s="1"/>
      <c r="X73" s="1">
        <f t="shared" ref="X73:X80" si="50">+P73-T73</f>
        <v>1066.22</v>
      </c>
      <c r="Y73" s="1"/>
      <c r="Z73" s="5">
        <f t="shared" ref="Z73:Z80" si="51">IF(T73=0,0,X73/T73)</f>
        <v>0</v>
      </c>
    </row>
    <row r="74" spans="1:26" s="24" customFormat="1" hidden="1" outlineLevel="2" x14ac:dyDescent="0.25">
      <c r="A74" s="27"/>
      <c r="B74" s="11" t="str">
        <f>CONCATENATE("          ", "6254", " - ", "ROYALTY &amp; COMMISSIONS")</f>
        <v xml:space="preserve">          6254 - ROYALTY &amp; COMMISSIONS</v>
      </c>
      <c r="C74" s="11"/>
      <c r="D74" s="7">
        <v>1066.22</v>
      </c>
      <c r="E74" s="2"/>
      <c r="F74" s="6">
        <f t="shared" si="44"/>
        <v>5.9057256270838515E-3</v>
      </c>
      <c r="G74" s="2"/>
      <c r="H74" s="7"/>
      <c r="I74" s="2"/>
      <c r="J74" s="6">
        <f t="shared" si="45"/>
        <v>0</v>
      </c>
      <c r="K74" s="2"/>
      <c r="L74" s="7">
        <f t="shared" si="46"/>
        <v>1066.22</v>
      </c>
      <c r="M74" s="2"/>
      <c r="N74" s="6">
        <f t="shared" si="47"/>
        <v>0</v>
      </c>
      <c r="O74" s="11"/>
      <c r="P74" s="7">
        <v>1066.22</v>
      </c>
      <c r="Q74" s="2"/>
      <c r="R74" s="6">
        <f t="shared" si="48"/>
        <v>2.7861445763455537E-3</v>
      </c>
      <c r="S74" s="2"/>
      <c r="T74" s="7"/>
      <c r="U74" s="2"/>
      <c r="V74" s="6">
        <f t="shared" si="49"/>
        <v>0</v>
      </c>
      <c r="W74" s="2"/>
      <c r="X74" s="7">
        <f t="shared" si="50"/>
        <v>1066.22</v>
      </c>
      <c r="Y74" s="2"/>
      <c r="Z74" s="6">
        <f t="shared" si="51"/>
        <v>0</v>
      </c>
    </row>
    <row r="75" spans="1:26" s="28" customFormat="1" outlineLevel="1" collapsed="1" x14ac:dyDescent="0.25">
      <c r="A75" s="29"/>
      <c r="B75" s="14" t="str">
        <f>CONCATENATE("     ","Services                                          ")</f>
        <v xml:space="preserve">     Services                                          </v>
      </c>
      <c r="C75" s="14"/>
      <c r="D75" s="1">
        <f>SUM(OSRRefD22_14x_0)</f>
        <v>6017.3700000000008</v>
      </c>
      <c r="E75" s="1"/>
      <c r="F75" s="5">
        <f t="shared" si="44"/>
        <v>3.3329834571331957E-2</v>
      </c>
      <c r="G75" s="1"/>
      <c r="H75" s="1">
        <f>SUM(OSRRefH22_14x_0)</f>
        <v>12012</v>
      </c>
      <c r="I75" s="1"/>
      <c r="J75" s="5">
        <f t="shared" si="45"/>
        <v>7.6011846001974331E-2</v>
      </c>
      <c r="K75" s="1"/>
      <c r="L75" s="1">
        <f t="shared" si="46"/>
        <v>-5994.6299999999992</v>
      </c>
      <c r="M75" s="1"/>
      <c r="N75" s="5">
        <f t="shared" si="47"/>
        <v>-0.49905344655344647</v>
      </c>
      <c r="O75" s="14"/>
      <c r="P75" s="1">
        <f>SUM(OSRRefP22_14x_0)</f>
        <v>35015.919999999998</v>
      </c>
      <c r="Q75" s="1"/>
      <c r="R75" s="5">
        <f t="shared" si="48"/>
        <v>9.1500267856305259E-2</v>
      </c>
      <c r="S75" s="1"/>
      <c r="T75" s="1">
        <f>SUM(OSRRefT22_14x_0)</f>
        <v>40011</v>
      </c>
      <c r="U75" s="1"/>
      <c r="V75" s="5">
        <f t="shared" si="49"/>
        <v>0.12076313390760539</v>
      </c>
      <c r="W75" s="1"/>
      <c r="X75" s="1">
        <f t="shared" si="50"/>
        <v>-4995.0800000000017</v>
      </c>
      <c r="Y75" s="1"/>
      <c r="Z75" s="5">
        <f t="shared" si="51"/>
        <v>-0.12484266826622684</v>
      </c>
    </row>
    <row r="76" spans="1:26" s="24" customFormat="1" hidden="1" outlineLevel="2" x14ac:dyDescent="0.25">
      <c r="A76" s="27"/>
      <c r="B76" s="11" t="str">
        <f>CONCATENATE("          ", "6282", " - ", "JANITORIAL/EXTERMINATOR EXPENS")</f>
        <v xml:space="preserve">          6282 - JANITORIAL/EXTERMINATOR EXPENS</v>
      </c>
      <c r="C76" s="11"/>
      <c r="D76" s="7">
        <v>1437.06</v>
      </c>
      <c r="E76" s="2"/>
      <c r="F76" s="6">
        <f t="shared" si="44"/>
        <v>7.9597851003143059E-3</v>
      </c>
      <c r="G76" s="2"/>
      <c r="H76" s="7">
        <v>1128</v>
      </c>
      <c r="I76" s="2"/>
      <c r="J76" s="6">
        <f t="shared" si="45"/>
        <v>7.1379755486369505E-3</v>
      </c>
      <c r="K76" s="2"/>
      <c r="L76" s="7">
        <f t="shared" si="46"/>
        <v>309.05999999999995</v>
      </c>
      <c r="M76" s="2"/>
      <c r="N76" s="6">
        <f t="shared" si="47"/>
        <v>0.27398936170212762</v>
      </c>
      <c r="O76" s="11"/>
      <c r="P76" s="7">
        <v>4150.46</v>
      </c>
      <c r="Q76" s="2"/>
      <c r="R76" s="6">
        <f t="shared" si="48"/>
        <v>1.0845586856689206E-2</v>
      </c>
      <c r="S76" s="2"/>
      <c r="T76" s="7">
        <v>4412</v>
      </c>
      <c r="U76" s="2"/>
      <c r="V76" s="6">
        <f t="shared" si="49"/>
        <v>1.3316511629310813E-2</v>
      </c>
      <c r="W76" s="2"/>
      <c r="X76" s="7">
        <f t="shared" si="50"/>
        <v>-261.53999999999996</v>
      </c>
      <c r="Y76" s="2"/>
      <c r="Z76" s="6">
        <f t="shared" si="51"/>
        <v>-5.9279238440616493E-2</v>
      </c>
    </row>
    <row r="77" spans="1:26" s="24" customFormat="1" hidden="1" outlineLevel="2" x14ac:dyDescent="0.25">
      <c r="A77" s="27"/>
      <c r="B77" s="11" t="str">
        <f>CONCATENATE("          ", "6283", " - ", "PLANT SERVICE")</f>
        <v xml:space="preserve">          6283 - PLANT SERVICE</v>
      </c>
      <c r="C77" s="11"/>
      <c r="D77" s="7"/>
      <c r="E77" s="2"/>
      <c r="F77" s="6">
        <f t="shared" si="44"/>
        <v>0</v>
      </c>
      <c r="G77" s="2"/>
      <c r="H77" s="7">
        <v>100</v>
      </c>
      <c r="I77" s="2"/>
      <c r="J77" s="6">
        <f t="shared" si="45"/>
        <v>6.3279925076568705E-4</v>
      </c>
      <c r="K77" s="2"/>
      <c r="L77" s="7">
        <f t="shared" si="46"/>
        <v>-100</v>
      </c>
      <c r="M77" s="2"/>
      <c r="N77" s="6">
        <f t="shared" si="47"/>
        <v>-1</v>
      </c>
      <c r="O77" s="11"/>
      <c r="P77" s="7"/>
      <c r="Q77" s="2"/>
      <c r="R77" s="6">
        <f t="shared" si="48"/>
        <v>0</v>
      </c>
      <c r="S77" s="2"/>
      <c r="T77" s="7">
        <v>400</v>
      </c>
      <c r="U77" s="2"/>
      <c r="V77" s="6">
        <f t="shared" si="49"/>
        <v>1.2072993317598199E-3</v>
      </c>
      <c r="W77" s="2"/>
      <c r="X77" s="7">
        <f t="shared" si="50"/>
        <v>-400</v>
      </c>
      <c r="Y77" s="2"/>
      <c r="Z77" s="6">
        <f t="shared" si="51"/>
        <v>-1</v>
      </c>
    </row>
    <row r="78" spans="1:26" s="24" customFormat="1" hidden="1" outlineLevel="2" x14ac:dyDescent="0.25">
      <c r="A78" s="27"/>
      <c r="B78" s="11" t="str">
        <f>CONCATENATE("          ", "6284", " - ", "TRASH REMOVAL EXPENSE")</f>
        <v xml:space="preserve">          6284 - TRASH REMOVAL EXPENSE</v>
      </c>
      <c r="C78" s="11"/>
      <c r="D78" s="7"/>
      <c r="E78" s="2"/>
      <c r="F78" s="6">
        <f t="shared" si="44"/>
        <v>0</v>
      </c>
      <c r="G78" s="2"/>
      <c r="H78" s="7">
        <v>1000</v>
      </c>
      <c r="I78" s="2"/>
      <c r="J78" s="6">
        <f t="shared" si="45"/>
        <v>6.3279925076568707E-3</v>
      </c>
      <c r="K78" s="2"/>
      <c r="L78" s="7">
        <f t="shared" si="46"/>
        <v>-1000</v>
      </c>
      <c r="M78" s="2"/>
      <c r="N78" s="6">
        <f t="shared" si="47"/>
        <v>-1</v>
      </c>
      <c r="O78" s="11"/>
      <c r="P78" s="7"/>
      <c r="Q78" s="2"/>
      <c r="R78" s="6">
        <f t="shared" si="48"/>
        <v>0</v>
      </c>
      <c r="S78" s="2"/>
      <c r="T78" s="7">
        <v>4000</v>
      </c>
      <c r="U78" s="2"/>
      <c r="V78" s="6">
        <f t="shared" si="49"/>
        <v>1.2072993317598198E-2</v>
      </c>
      <c r="W78" s="2"/>
      <c r="X78" s="7">
        <f t="shared" si="50"/>
        <v>-4000</v>
      </c>
      <c r="Y78" s="2"/>
      <c r="Z78" s="6">
        <f t="shared" si="51"/>
        <v>-1</v>
      </c>
    </row>
    <row r="79" spans="1:26" s="24" customFormat="1" hidden="1" outlineLevel="2" x14ac:dyDescent="0.25">
      <c r="A79" s="27"/>
      <c r="B79" s="11" t="str">
        <f>CONCATENATE("          ", "6285", " - ", "JANITORIAL SERVICES")</f>
        <v xml:space="preserve">          6285 - JANITORIAL SERVICES</v>
      </c>
      <c r="C79" s="11"/>
      <c r="D79" s="7">
        <v>3804.38</v>
      </c>
      <c r="E79" s="2"/>
      <c r="F79" s="6">
        <f t="shared" si="44"/>
        <v>2.1072221925273645E-2</v>
      </c>
      <c r="G79" s="2"/>
      <c r="H79" s="7">
        <v>9099</v>
      </c>
      <c r="I79" s="2"/>
      <c r="J79" s="6">
        <f t="shared" si="45"/>
        <v>5.7578403827169868E-2</v>
      </c>
      <c r="K79" s="2"/>
      <c r="L79" s="7">
        <f t="shared" si="46"/>
        <v>-5294.62</v>
      </c>
      <c r="M79" s="2"/>
      <c r="N79" s="6">
        <f t="shared" si="47"/>
        <v>-0.58189031761732057</v>
      </c>
      <c r="O79" s="11"/>
      <c r="P79" s="7">
        <v>29562.28</v>
      </c>
      <c r="Q79" s="2"/>
      <c r="R79" s="6">
        <f t="shared" si="48"/>
        <v>7.7249335115087525E-2</v>
      </c>
      <c r="S79" s="2"/>
      <c r="T79" s="7">
        <v>28588</v>
      </c>
      <c r="U79" s="2"/>
      <c r="V79" s="6">
        <f t="shared" si="49"/>
        <v>8.6285683240874322E-2</v>
      </c>
      <c r="W79" s="2"/>
      <c r="X79" s="7">
        <f t="shared" si="50"/>
        <v>974.27999999999884</v>
      </c>
      <c r="Y79" s="2"/>
      <c r="Z79" s="6">
        <f t="shared" si="51"/>
        <v>3.4080033580523257E-2</v>
      </c>
    </row>
    <row r="80" spans="1:26" s="24" customFormat="1" hidden="1" outlineLevel="2" x14ac:dyDescent="0.25">
      <c r="A80" s="27"/>
      <c r="B80" s="11" t="str">
        <f>CONCATENATE("          ", "6286", " - ", "LAUNDRY EXPENSE")</f>
        <v xml:space="preserve">          6286 - LAUNDRY EXPENSE</v>
      </c>
      <c r="C80" s="11"/>
      <c r="D80" s="7">
        <v>775.93</v>
      </c>
      <c r="E80" s="2"/>
      <c r="F80" s="6">
        <f t="shared" si="44"/>
        <v>4.2978275457440044E-3</v>
      </c>
      <c r="G80" s="2"/>
      <c r="H80" s="7">
        <v>685</v>
      </c>
      <c r="I80" s="2"/>
      <c r="J80" s="6">
        <f t="shared" si="45"/>
        <v>4.3346748677449568E-3</v>
      </c>
      <c r="K80" s="2"/>
      <c r="L80" s="7">
        <f t="shared" si="46"/>
        <v>90.92999999999995</v>
      </c>
      <c r="M80" s="2"/>
      <c r="N80" s="6">
        <f t="shared" si="47"/>
        <v>0.13274452554744517</v>
      </c>
      <c r="O80" s="11"/>
      <c r="P80" s="7">
        <v>1303.18</v>
      </c>
      <c r="Q80" s="2"/>
      <c r="R80" s="6">
        <f t="shared" si="48"/>
        <v>3.40534588452852E-3</v>
      </c>
      <c r="S80" s="2"/>
      <c r="T80" s="7">
        <v>2611</v>
      </c>
      <c r="U80" s="2"/>
      <c r="V80" s="6">
        <f t="shared" si="49"/>
        <v>7.8806463880622245E-3</v>
      </c>
      <c r="W80" s="2"/>
      <c r="X80" s="7">
        <f t="shared" si="50"/>
        <v>-1307.82</v>
      </c>
      <c r="Y80" s="2"/>
      <c r="Z80" s="6">
        <f t="shared" si="51"/>
        <v>-0.5008885484488701</v>
      </c>
    </row>
    <row r="81" spans="1:26" s="28" customFormat="1" outlineLevel="1" collapsed="1" x14ac:dyDescent="0.25">
      <c r="A81" s="29"/>
      <c r="B81" s="14" t="str">
        <f>CONCATENATE("     ","Subscriptions &amp; Dues                              ")</f>
        <v xml:space="preserve">     Subscriptions &amp; Dues                              </v>
      </c>
      <c r="C81" s="14"/>
      <c r="D81" s="1">
        <f>SUM(OSRRefD22_15x_0)</f>
        <v>813.81</v>
      </c>
      <c r="E81" s="1"/>
      <c r="F81" s="5">
        <f t="shared" ref="F81:F92" si="52">IF(D$12=0,0,D81/D$12)</f>
        <v>4.5076424870825055E-3</v>
      </c>
      <c r="G81" s="1"/>
      <c r="H81" s="1">
        <f>SUM(OSRRefH22_15x_0)</f>
        <v>610</v>
      </c>
      <c r="I81" s="1"/>
      <c r="J81" s="5">
        <f t="shared" ref="J81:J92" si="53">IF(H$12=0,0,H81/H$12)</f>
        <v>3.8600754296706911E-3</v>
      </c>
      <c r="K81" s="1"/>
      <c r="L81" s="1">
        <f t="shared" ref="L81:L92" si="54">+D81-H81</f>
        <v>203.80999999999995</v>
      </c>
      <c r="M81" s="1"/>
      <c r="N81" s="5">
        <f t="shared" ref="N81:N92" si="55">IF(H81=0,0,L81/H81)</f>
        <v>0.33411475409836056</v>
      </c>
      <c r="O81" s="14"/>
      <c r="P81" s="1">
        <f>SUM(OSRRefP22_15x_0)</f>
        <v>1947</v>
      </c>
      <c r="Q81" s="1"/>
      <c r="R81" s="5">
        <f t="shared" ref="R81:R92" si="56">IF(P$12=0,0,P81/P$12)</f>
        <v>5.0877150026681101E-3</v>
      </c>
      <c r="S81" s="1"/>
      <c r="T81" s="1">
        <f>SUM(OSRRefT22_15x_0)</f>
        <v>2210</v>
      </c>
      <c r="U81" s="1"/>
      <c r="V81" s="5">
        <f t="shared" ref="V81:V92" si="57">IF(T$12=0,0,T81/T$12)</f>
        <v>6.670328807973005E-3</v>
      </c>
      <c r="W81" s="1"/>
      <c r="X81" s="1">
        <f t="shared" ref="X81:X92" si="58">+P81-T81</f>
        <v>-263</v>
      </c>
      <c r="Y81" s="1"/>
      <c r="Z81" s="5">
        <f t="shared" ref="Z81:Z92" si="59">IF(T81=0,0,X81/T81)</f>
        <v>-0.11900452488687782</v>
      </c>
    </row>
    <row r="82" spans="1:26" s="24" customFormat="1" hidden="1" outlineLevel="2" x14ac:dyDescent="0.25">
      <c r="A82" s="27"/>
      <c r="B82" s="11" t="str">
        <f>CONCATENATE("          ", "6275", " - ", "SUBSCRIPTIONS")</f>
        <v xml:space="preserve">          6275 - SUBSCRIPTIONS</v>
      </c>
      <c r="C82" s="11"/>
      <c r="D82" s="7">
        <v>813.81</v>
      </c>
      <c r="E82" s="2"/>
      <c r="F82" s="6">
        <f t="shared" si="52"/>
        <v>4.5076424870825055E-3</v>
      </c>
      <c r="G82" s="2"/>
      <c r="H82" s="7">
        <v>610</v>
      </c>
      <c r="I82" s="2"/>
      <c r="J82" s="6">
        <f t="shared" si="53"/>
        <v>3.8600754296706911E-3</v>
      </c>
      <c r="K82" s="2"/>
      <c r="L82" s="7">
        <f t="shared" si="54"/>
        <v>203.80999999999995</v>
      </c>
      <c r="M82" s="2"/>
      <c r="N82" s="6">
        <f t="shared" si="55"/>
        <v>0.33411475409836056</v>
      </c>
      <c r="O82" s="11"/>
      <c r="P82" s="7">
        <v>1947</v>
      </c>
      <c r="Q82" s="2"/>
      <c r="R82" s="6">
        <f t="shared" si="56"/>
        <v>5.0877150026681101E-3</v>
      </c>
      <c r="S82" s="2"/>
      <c r="T82" s="7">
        <v>2210</v>
      </c>
      <c r="U82" s="2"/>
      <c r="V82" s="6">
        <f t="shared" si="57"/>
        <v>6.670328807973005E-3</v>
      </c>
      <c r="W82" s="2"/>
      <c r="X82" s="7">
        <f t="shared" si="58"/>
        <v>-263</v>
      </c>
      <c r="Y82" s="2"/>
      <c r="Z82" s="6">
        <f t="shared" si="59"/>
        <v>-0.11900452488687782</v>
      </c>
    </row>
    <row r="83" spans="1:26" s="28" customFormat="1" outlineLevel="1" collapsed="1" x14ac:dyDescent="0.25">
      <c r="A83" s="29"/>
      <c r="B83" s="14" t="str">
        <f>CONCATENATE("     ","Supplies                                          ")</f>
        <v xml:space="preserve">     Supplies                                          </v>
      </c>
      <c r="C83" s="14"/>
      <c r="D83" s="1">
        <f>SUM(OSRRefD22_16x_0)</f>
        <v>7705.43</v>
      </c>
      <c r="E83" s="1"/>
      <c r="F83" s="5">
        <f t="shared" si="52"/>
        <v>4.2679892910188068E-2</v>
      </c>
      <c r="G83" s="1"/>
      <c r="H83" s="1">
        <f>SUM(OSRRefH22_16x_0)</f>
        <v>1325</v>
      </c>
      <c r="I83" s="1"/>
      <c r="J83" s="5">
        <f t="shared" si="53"/>
        <v>8.3845900726453541E-3</v>
      </c>
      <c r="K83" s="1"/>
      <c r="L83" s="1">
        <f t="shared" si="54"/>
        <v>6380.43</v>
      </c>
      <c r="M83" s="1"/>
      <c r="N83" s="5">
        <f t="shared" si="55"/>
        <v>4.8154188679245289</v>
      </c>
      <c r="O83" s="14"/>
      <c r="P83" s="1">
        <f>SUM(OSRRefP22_16x_0)</f>
        <v>15627.480000000001</v>
      </c>
      <c r="Q83" s="1"/>
      <c r="R83" s="5">
        <f t="shared" si="56"/>
        <v>4.0836242655313736E-2</v>
      </c>
      <c r="S83" s="1"/>
      <c r="T83" s="1">
        <f>SUM(OSRRefT22_16x_0)</f>
        <v>19298</v>
      </c>
      <c r="U83" s="1"/>
      <c r="V83" s="5">
        <f t="shared" si="57"/>
        <v>5.824615626075251E-2</v>
      </c>
      <c r="W83" s="1"/>
      <c r="X83" s="1">
        <f t="shared" si="58"/>
        <v>-3670.5199999999986</v>
      </c>
      <c r="Y83" s="1"/>
      <c r="Z83" s="5">
        <f t="shared" si="59"/>
        <v>-0.19020209348118969</v>
      </c>
    </row>
    <row r="84" spans="1:26" s="24" customFormat="1" hidden="1" outlineLevel="2" x14ac:dyDescent="0.25">
      <c r="A84" s="27"/>
      <c r="B84" s="11" t="str">
        <f>CONCATENATE("          ", "6235", " - ", "COVID-19 EXPENSES")</f>
        <v xml:space="preserve">          6235 - COVID-19 EXPENSES</v>
      </c>
      <c r="C84" s="11"/>
      <c r="D84" s="7"/>
      <c r="E84" s="2"/>
      <c r="F84" s="6">
        <f t="shared" si="52"/>
        <v>0</v>
      </c>
      <c r="G84" s="2"/>
      <c r="H84" s="7">
        <v>250</v>
      </c>
      <c r="I84" s="2"/>
      <c r="J84" s="6">
        <f t="shared" si="53"/>
        <v>1.5819981269142177E-3</v>
      </c>
      <c r="K84" s="2"/>
      <c r="L84" s="7">
        <f t="shared" si="54"/>
        <v>-250</v>
      </c>
      <c r="M84" s="2"/>
      <c r="N84" s="6">
        <f t="shared" si="55"/>
        <v>-1</v>
      </c>
      <c r="O84" s="11"/>
      <c r="P84" s="7">
        <v>193.5</v>
      </c>
      <c r="Q84" s="2"/>
      <c r="R84" s="6">
        <f t="shared" si="56"/>
        <v>5.0563577453327133E-4</v>
      </c>
      <c r="S84" s="2"/>
      <c r="T84" s="7">
        <v>1250</v>
      </c>
      <c r="U84" s="2"/>
      <c r="V84" s="6">
        <f t="shared" si="57"/>
        <v>3.7728104117494372E-3</v>
      </c>
      <c r="W84" s="2"/>
      <c r="X84" s="7">
        <f t="shared" si="58"/>
        <v>-1056.5</v>
      </c>
      <c r="Y84" s="2"/>
      <c r="Z84" s="6">
        <f t="shared" si="59"/>
        <v>-0.84519999999999995</v>
      </c>
    </row>
    <row r="85" spans="1:26" s="24" customFormat="1" hidden="1" outlineLevel="2" x14ac:dyDescent="0.25">
      <c r="A85" s="27"/>
      <c r="B85" s="11" t="str">
        <f>CONCATENATE("          ", "6237", " - ", "JANITORIAL SUPPLIES")</f>
        <v xml:space="preserve">          6237 - JANITORIAL SUPPLIES</v>
      </c>
      <c r="C85" s="11"/>
      <c r="D85" s="7">
        <v>804.12</v>
      </c>
      <c r="E85" s="2"/>
      <c r="F85" s="6">
        <f t="shared" si="52"/>
        <v>4.4539701855627048E-3</v>
      </c>
      <c r="G85" s="2"/>
      <c r="H85" s="7">
        <v>225</v>
      </c>
      <c r="I85" s="2"/>
      <c r="J85" s="6">
        <f t="shared" si="53"/>
        <v>1.423798314222796E-3</v>
      </c>
      <c r="K85" s="2"/>
      <c r="L85" s="7">
        <f t="shared" si="54"/>
        <v>579.12</v>
      </c>
      <c r="M85" s="2"/>
      <c r="N85" s="6">
        <f t="shared" si="55"/>
        <v>2.5738666666666665</v>
      </c>
      <c r="O85" s="11"/>
      <c r="P85" s="7">
        <v>4448.8500000000004</v>
      </c>
      <c r="Q85" s="2"/>
      <c r="R85" s="6">
        <f t="shared" si="56"/>
        <v>1.1625311191381625E-2</v>
      </c>
      <c r="S85" s="2"/>
      <c r="T85" s="7">
        <v>2378</v>
      </c>
      <c r="U85" s="2"/>
      <c r="V85" s="6">
        <f t="shared" si="57"/>
        <v>7.177394527312129E-3</v>
      </c>
      <c r="W85" s="2"/>
      <c r="X85" s="7">
        <f t="shared" si="58"/>
        <v>2070.8500000000004</v>
      </c>
      <c r="Y85" s="2"/>
      <c r="Z85" s="6">
        <f t="shared" si="59"/>
        <v>0.87083683767872178</v>
      </c>
    </row>
    <row r="86" spans="1:26" s="24" customFormat="1" hidden="1" outlineLevel="2" x14ac:dyDescent="0.25">
      <c r="A86" s="27"/>
      <c r="B86" s="11" t="str">
        <f>CONCATENATE("          ", "6239", " - ", "KITCHEN SUPPLIES")</f>
        <v xml:space="preserve">          6239 - KITCHEN SUPPLIES</v>
      </c>
      <c r="C86" s="11"/>
      <c r="D86" s="7">
        <v>920.86</v>
      </c>
      <c r="E86" s="2"/>
      <c r="F86" s="6">
        <f t="shared" si="52"/>
        <v>5.1005857149147788E-3</v>
      </c>
      <c r="G86" s="2"/>
      <c r="H86" s="7"/>
      <c r="I86" s="2"/>
      <c r="J86" s="6">
        <f t="shared" si="53"/>
        <v>0</v>
      </c>
      <c r="K86" s="2"/>
      <c r="L86" s="7">
        <f t="shared" si="54"/>
        <v>920.86</v>
      </c>
      <c r="M86" s="2"/>
      <c r="N86" s="6">
        <f t="shared" si="55"/>
        <v>0</v>
      </c>
      <c r="O86" s="11"/>
      <c r="P86" s="7">
        <v>1992.05</v>
      </c>
      <c r="Q86" s="2"/>
      <c r="R86" s="6">
        <f t="shared" si="56"/>
        <v>5.2054353729147455E-3</v>
      </c>
      <c r="S86" s="2"/>
      <c r="T86" s="7">
        <v>5249</v>
      </c>
      <c r="U86" s="2"/>
      <c r="V86" s="6">
        <f t="shared" si="57"/>
        <v>1.5842785481018237E-2</v>
      </c>
      <c r="W86" s="2"/>
      <c r="X86" s="7">
        <f t="shared" si="58"/>
        <v>-3256.95</v>
      </c>
      <c r="Y86" s="2"/>
      <c r="Z86" s="6">
        <f t="shared" si="59"/>
        <v>-0.62048961706991801</v>
      </c>
    </row>
    <row r="87" spans="1:26" s="24" customFormat="1" hidden="1" outlineLevel="2" x14ac:dyDescent="0.25">
      <c r="A87" s="27"/>
      <c r="B87" s="11" t="str">
        <f>CONCATENATE("          ", "6241", " - ", "OFFICE EXPENSE")</f>
        <v xml:space="preserve">          6241 - OFFICE EXPENSE</v>
      </c>
      <c r="C87" s="11"/>
      <c r="D87" s="7">
        <v>4114.0200000000004</v>
      </c>
      <c r="E87" s="2"/>
      <c r="F87" s="6">
        <f t="shared" si="52"/>
        <v>2.2787298441536933E-2</v>
      </c>
      <c r="G87" s="2"/>
      <c r="H87" s="7">
        <v>50</v>
      </c>
      <c r="I87" s="2"/>
      <c r="J87" s="6">
        <f t="shared" si="53"/>
        <v>3.1639962538284352E-4</v>
      </c>
      <c r="K87" s="2"/>
      <c r="L87" s="7">
        <f t="shared" si="54"/>
        <v>4064.0200000000004</v>
      </c>
      <c r="M87" s="2"/>
      <c r="N87" s="6">
        <f t="shared" si="55"/>
        <v>81.280400000000014</v>
      </c>
      <c r="O87" s="11"/>
      <c r="P87" s="7">
        <v>6175.88</v>
      </c>
      <c r="Q87" s="2"/>
      <c r="R87" s="6">
        <f t="shared" si="56"/>
        <v>1.6138221536044134E-2</v>
      </c>
      <c r="S87" s="2"/>
      <c r="T87" s="7">
        <v>2927</v>
      </c>
      <c r="U87" s="2"/>
      <c r="V87" s="6">
        <f t="shared" si="57"/>
        <v>8.834412860152482E-3</v>
      </c>
      <c r="W87" s="2"/>
      <c r="X87" s="7">
        <f t="shared" si="58"/>
        <v>3248.88</v>
      </c>
      <c r="Y87" s="2"/>
      <c r="Z87" s="6">
        <f t="shared" si="59"/>
        <v>1.1099692517936455</v>
      </c>
    </row>
    <row r="88" spans="1:26" s="24" customFormat="1" hidden="1" outlineLevel="2" x14ac:dyDescent="0.25">
      <c r="A88" s="27"/>
      <c r="B88" s="11" t="str">
        <f>CONCATENATE("          ", "6243", " - ", "PAPER SUPPLIES")</f>
        <v xml:space="preserve">          6243 - PAPER SUPPLIES</v>
      </c>
      <c r="C88" s="11"/>
      <c r="D88" s="7">
        <v>648.79999999999995</v>
      </c>
      <c r="E88" s="2"/>
      <c r="F88" s="6">
        <f t="shared" si="52"/>
        <v>3.5936624588283868E-3</v>
      </c>
      <c r="G88" s="2"/>
      <c r="H88" s="7">
        <v>700</v>
      </c>
      <c r="I88" s="2"/>
      <c r="J88" s="6">
        <f t="shared" si="53"/>
        <v>4.4295947553598097E-3</v>
      </c>
      <c r="K88" s="2"/>
      <c r="L88" s="7">
        <f t="shared" si="54"/>
        <v>-51.200000000000045</v>
      </c>
      <c r="M88" s="2"/>
      <c r="N88" s="6">
        <f t="shared" si="55"/>
        <v>-7.3142857142857204E-2</v>
      </c>
      <c r="O88" s="11"/>
      <c r="P88" s="7">
        <v>1185.5899999999999</v>
      </c>
      <c r="Q88" s="2"/>
      <c r="R88" s="6">
        <f t="shared" si="56"/>
        <v>3.0980708936894116E-3</v>
      </c>
      <c r="S88" s="2"/>
      <c r="T88" s="7">
        <v>3533</v>
      </c>
      <c r="U88" s="2"/>
      <c r="V88" s="6">
        <f t="shared" si="57"/>
        <v>1.066347134776861E-2</v>
      </c>
      <c r="W88" s="2"/>
      <c r="X88" s="7">
        <f t="shared" si="58"/>
        <v>-2347.41</v>
      </c>
      <c r="Y88" s="2"/>
      <c r="Z88" s="6">
        <f t="shared" si="59"/>
        <v>-0.66442400226436449</v>
      </c>
    </row>
    <row r="89" spans="1:26" s="24" customFormat="1" hidden="1" outlineLevel="2" x14ac:dyDescent="0.25">
      <c r="A89" s="27"/>
      <c r="B89" s="11" t="str">
        <f>CONCATENATE("          ", "6244", " - ", "SAFETY SUPPLY EXPENSE")</f>
        <v xml:space="preserve">          6244 - SAFETY SUPPLY EXPENSE</v>
      </c>
      <c r="C89" s="11"/>
      <c r="D89" s="7"/>
      <c r="E89" s="2"/>
      <c r="F89" s="6">
        <f t="shared" si="52"/>
        <v>0</v>
      </c>
      <c r="G89" s="2"/>
      <c r="H89" s="7"/>
      <c r="I89" s="2"/>
      <c r="J89" s="6">
        <f t="shared" si="53"/>
        <v>0</v>
      </c>
      <c r="K89" s="2"/>
      <c r="L89" s="7">
        <f t="shared" si="54"/>
        <v>0</v>
      </c>
      <c r="M89" s="2"/>
      <c r="N89" s="6">
        <f t="shared" si="55"/>
        <v>0</v>
      </c>
      <c r="O89" s="11"/>
      <c r="P89" s="7"/>
      <c r="Q89" s="2"/>
      <c r="R89" s="6">
        <f t="shared" si="56"/>
        <v>0</v>
      </c>
      <c r="S89" s="2"/>
      <c r="T89" s="7">
        <v>50</v>
      </c>
      <c r="U89" s="2"/>
      <c r="V89" s="6">
        <f t="shared" si="57"/>
        <v>1.5091241646997749E-4</v>
      </c>
      <c r="W89" s="2"/>
      <c r="X89" s="7">
        <f t="shared" si="58"/>
        <v>-50</v>
      </c>
      <c r="Y89" s="2"/>
      <c r="Z89" s="6">
        <f t="shared" si="59"/>
        <v>-1</v>
      </c>
    </row>
    <row r="90" spans="1:26" s="24" customFormat="1" hidden="1" outlineLevel="2" x14ac:dyDescent="0.25">
      <c r="A90" s="27"/>
      <c r="B90" s="11" t="str">
        <f>CONCATENATE("          ", "6245", " - ", "PRINTING")</f>
        <v xml:space="preserve">          6245 - PRINTING</v>
      </c>
      <c r="C90" s="11"/>
      <c r="D90" s="7">
        <v>1071</v>
      </c>
      <c r="E90" s="2"/>
      <c r="F90" s="6">
        <f t="shared" si="52"/>
        <v>5.932201746925405E-3</v>
      </c>
      <c r="G90" s="2"/>
      <c r="H90" s="7">
        <v>100</v>
      </c>
      <c r="I90" s="2"/>
      <c r="J90" s="6">
        <f t="shared" si="53"/>
        <v>6.3279925076568705E-4</v>
      </c>
      <c r="K90" s="2"/>
      <c r="L90" s="7">
        <f t="shared" si="54"/>
        <v>971</v>
      </c>
      <c r="M90" s="2"/>
      <c r="N90" s="6">
        <f t="shared" si="55"/>
        <v>9.7100000000000009</v>
      </c>
      <c r="O90" s="11"/>
      <c r="P90" s="7">
        <v>1071</v>
      </c>
      <c r="Q90" s="2"/>
      <c r="R90" s="6">
        <f t="shared" si="56"/>
        <v>2.7986352171841533E-3</v>
      </c>
      <c r="S90" s="2"/>
      <c r="T90" s="7">
        <v>900</v>
      </c>
      <c r="U90" s="2"/>
      <c r="V90" s="6">
        <f t="shared" si="57"/>
        <v>2.7164234964595947E-3</v>
      </c>
      <c r="W90" s="2"/>
      <c r="X90" s="7">
        <f t="shared" si="58"/>
        <v>171</v>
      </c>
      <c r="Y90" s="2"/>
      <c r="Z90" s="6">
        <f t="shared" si="59"/>
        <v>0.19</v>
      </c>
    </row>
    <row r="91" spans="1:26" s="24" customFormat="1" hidden="1" outlineLevel="2" x14ac:dyDescent="0.25">
      <c r="A91" s="27"/>
      <c r="B91" s="11" t="str">
        <f>CONCATENATE("          ", "6247", " - ", "STORE SUPPLIES")</f>
        <v xml:space="preserve">          6247 - STORE SUPPLIES</v>
      </c>
      <c r="C91" s="11"/>
      <c r="D91" s="7">
        <v>146.63</v>
      </c>
      <c r="E91" s="2"/>
      <c r="F91" s="6">
        <f t="shared" si="52"/>
        <v>8.1217436241986184E-4</v>
      </c>
      <c r="G91" s="2"/>
      <c r="H91" s="7"/>
      <c r="I91" s="2"/>
      <c r="J91" s="6">
        <f t="shared" si="53"/>
        <v>0</v>
      </c>
      <c r="K91" s="2"/>
      <c r="L91" s="7">
        <f t="shared" si="54"/>
        <v>146.63</v>
      </c>
      <c r="M91" s="2"/>
      <c r="N91" s="6">
        <f t="shared" si="55"/>
        <v>0</v>
      </c>
      <c r="O91" s="11"/>
      <c r="P91" s="7">
        <v>560.61</v>
      </c>
      <c r="Q91" s="2"/>
      <c r="R91" s="6">
        <f t="shared" si="56"/>
        <v>1.464932669566394E-3</v>
      </c>
      <c r="S91" s="2"/>
      <c r="T91" s="7">
        <v>411</v>
      </c>
      <c r="U91" s="2"/>
      <c r="V91" s="6">
        <f t="shared" si="57"/>
        <v>1.240500063383215E-3</v>
      </c>
      <c r="W91" s="2"/>
      <c r="X91" s="7">
        <f t="shared" si="58"/>
        <v>149.61000000000001</v>
      </c>
      <c r="Y91" s="2"/>
      <c r="Z91" s="6">
        <f t="shared" si="59"/>
        <v>0.36401459854014601</v>
      </c>
    </row>
    <row r="92" spans="1:26" s="24" customFormat="1" hidden="1" outlineLevel="2" x14ac:dyDescent="0.25">
      <c r="A92" s="27"/>
      <c r="B92" s="11" t="str">
        <f>CONCATENATE("          ", "6248", " - ", "UNIFORMS")</f>
        <v xml:space="preserve">          6248 - UNIFORMS</v>
      </c>
      <c r="C92" s="11"/>
      <c r="D92" s="7"/>
      <c r="E92" s="2"/>
      <c r="F92" s="6">
        <f t="shared" si="52"/>
        <v>0</v>
      </c>
      <c r="G92" s="2"/>
      <c r="H92" s="7"/>
      <c r="I92" s="2"/>
      <c r="J92" s="6">
        <f t="shared" si="53"/>
        <v>0</v>
      </c>
      <c r="K92" s="2"/>
      <c r="L92" s="7">
        <f t="shared" si="54"/>
        <v>0</v>
      </c>
      <c r="M92" s="2"/>
      <c r="N92" s="6">
        <f t="shared" si="55"/>
        <v>0</v>
      </c>
      <c r="O92" s="11"/>
      <c r="P92" s="7"/>
      <c r="Q92" s="2"/>
      <c r="R92" s="6">
        <f t="shared" si="56"/>
        <v>0</v>
      </c>
      <c r="S92" s="2"/>
      <c r="T92" s="7">
        <v>2600</v>
      </c>
      <c r="U92" s="2"/>
      <c r="V92" s="6">
        <f t="shared" si="57"/>
        <v>7.8474456564388284E-3</v>
      </c>
      <c r="W92" s="2"/>
      <c r="X92" s="7">
        <f t="shared" si="58"/>
        <v>-2600</v>
      </c>
      <c r="Y92" s="2"/>
      <c r="Z92" s="6">
        <f t="shared" si="59"/>
        <v>-1</v>
      </c>
    </row>
    <row r="93" spans="1:26" s="28" customFormat="1" outlineLevel="1" collapsed="1" x14ac:dyDescent="0.25">
      <c r="A93" s="29"/>
      <c r="B93" s="14" t="str">
        <f>CONCATENATE("     ","Telephone/Data Lines                              ")</f>
        <v xml:space="preserve">     Telephone/Data Lines                              </v>
      </c>
      <c r="C93" s="14"/>
      <c r="D93" s="1">
        <f>SUM(OSRRefD22_17x_0)</f>
        <v>988.61</v>
      </c>
      <c r="E93" s="1"/>
      <c r="F93" s="5">
        <f t="shared" ref="F93:F95" si="60">IF(D$12=0,0,D93/D$12)</f>
        <v>5.4758487105769603E-3</v>
      </c>
      <c r="G93" s="1"/>
      <c r="H93" s="1">
        <f>SUM(OSRRefH22_17x_0)</f>
        <v>510</v>
      </c>
      <c r="I93" s="1"/>
      <c r="J93" s="5">
        <f t="shared" ref="J93:J95" si="61">IF(H$12=0,0,H93/H$12)</f>
        <v>3.2272761789050044E-3</v>
      </c>
      <c r="K93" s="1"/>
      <c r="L93" s="1">
        <f t="shared" ref="L93:L95" si="62">+D93-H93</f>
        <v>478.61</v>
      </c>
      <c r="M93" s="1"/>
      <c r="N93" s="5">
        <f t="shared" ref="N93:N95" si="63">IF(H93=0,0,L93/H93)</f>
        <v>0.93845098039215691</v>
      </c>
      <c r="O93" s="14"/>
      <c r="P93" s="1">
        <f>SUM(OSRRefP22_17x_0)</f>
        <v>2881.39</v>
      </c>
      <c r="Q93" s="1"/>
      <c r="R93" s="5">
        <f t="shared" ref="R93:R95" si="64">IF(P$12=0,0,P93/P$12)</f>
        <v>7.5293739761365516E-3</v>
      </c>
      <c r="S93" s="1"/>
      <c r="T93" s="1">
        <f>SUM(OSRRefT22_17x_0)</f>
        <v>1740</v>
      </c>
      <c r="U93" s="1"/>
      <c r="V93" s="5">
        <f t="shared" ref="V93:V95" si="65">IF(T$12=0,0,T93/T$12)</f>
        <v>5.2517520931552163E-3</v>
      </c>
      <c r="W93" s="1"/>
      <c r="X93" s="1">
        <f t="shared" ref="X93:X95" si="66">+P93-T93</f>
        <v>1141.3899999999999</v>
      </c>
      <c r="Y93" s="1"/>
      <c r="Z93" s="5">
        <f t="shared" ref="Z93:Z95" si="67">IF(T93=0,0,X93/T93)</f>
        <v>0.65597126436781605</v>
      </c>
    </row>
    <row r="94" spans="1:26" s="24" customFormat="1" hidden="1" outlineLevel="2" x14ac:dyDescent="0.25">
      <c r="A94" s="27"/>
      <c r="B94" s="11" t="str">
        <f>CONCATENATE("          ", "6303", " - ", "DATA PHONE LINES")</f>
        <v xml:space="preserve">          6303 - DATA PHONE LINES</v>
      </c>
      <c r="C94" s="11"/>
      <c r="D94" s="7"/>
      <c r="E94" s="2"/>
      <c r="F94" s="6">
        <f t="shared" si="60"/>
        <v>0</v>
      </c>
      <c r="G94" s="2"/>
      <c r="H94" s="7">
        <v>135</v>
      </c>
      <c r="I94" s="2"/>
      <c r="J94" s="6">
        <f t="shared" si="61"/>
        <v>8.5427898853367753E-4</v>
      </c>
      <c r="K94" s="2"/>
      <c r="L94" s="7">
        <f t="shared" si="62"/>
        <v>-135</v>
      </c>
      <c r="M94" s="2"/>
      <c r="N94" s="6">
        <f t="shared" si="63"/>
        <v>-1</v>
      </c>
      <c r="O94" s="11"/>
      <c r="P94" s="7"/>
      <c r="Q94" s="2"/>
      <c r="R94" s="6">
        <f t="shared" si="64"/>
        <v>0</v>
      </c>
      <c r="S94" s="2"/>
      <c r="T94" s="7">
        <v>540</v>
      </c>
      <c r="U94" s="2"/>
      <c r="V94" s="6">
        <f t="shared" si="65"/>
        <v>1.6298540978757568E-3</v>
      </c>
      <c r="W94" s="2"/>
      <c r="X94" s="7">
        <f t="shared" si="66"/>
        <v>-540</v>
      </c>
      <c r="Y94" s="2"/>
      <c r="Z94" s="6">
        <f t="shared" si="67"/>
        <v>-1</v>
      </c>
    </row>
    <row r="95" spans="1:26" s="24" customFormat="1" hidden="1" outlineLevel="2" x14ac:dyDescent="0.25">
      <c r="A95" s="27"/>
      <c r="B95" s="11" t="str">
        <f>CONCATENATE("          ", "6309", " - ", "TELEPHONE")</f>
        <v xml:space="preserve">          6309 - TELEPHONE</v>
      </c>
      <c r="C95" s="11"/>
      <c r="D95" s="7">
        <v>988.61</v>
      </c>
      <c r="E95" s="2"/>
      <c r="F95" s="6">
        <f t="shared" si="60"/>
        <v>5.4758487105769603E-3</v>
      </c>
      <c r="G95" s="2"/>
      <c r="H95" s="7">
        <v>375</v>
      </c>
      <c r="I95" s="2"/>
      <c r="J95" s="6">
        <f t="shared" si="61"/>
        <v>2.3729971903713267E-3</v>
      </c>
      <c r="K95" s="2"/>
      <c r="L95" s="7">
        <f t="shared" si="62"/>
        <v>613.61</v>
      </c>
      <c r="M95" s="2"/>
      <c r="N95" s="6">
        <f t="shared" si="63"/>
        <v>1.6362933333333334</v>
      </c>
      <c r="O95" s="11"/>
      <c r="P95" s="7">
        <v>2881.39</v>
      </c>
      <c r="Q95" s="2"/>
      <c r="R95" s="6">
        <f t="shared" si="64"/>
        <v>7.5293739761365516E-3</v>
      </c>
      <c r="S95" s="2"/>
      <c r="T95" s="7">
        <v>1200</v>
      </c>
      <c r="U95" s="2"/>
      <c r="V95" s="6">
        <f t="shared" si="65"/>
        <v>3.6218979952794598E-3</v>
      </c>
      <c r="W95" s="2"/>
      <c r="X95" s="7">
        <f t="shared" si="66"/>
        <v>1681.3899999999999</v>
      </c>
      <c r="Y95" s="2"/>
      <c r="Z95" s="6">
        <f t="shared" si="67"/>
        <v>1.4011583333333333</v>
      </c>
    </row>
    <row r="96" spans="1:26" s="28" customFormat="1" outlineLevel="1" collapsed="1" x14ac:dyDescent="0.25">
      <c r="A96" s="29"/>
      <c r="B96" s="14" t="str">
        <f>CONCATENATE("     ","Training                                          ")</f>
        <v xml:space="preserve">     Training                                          </v>
      </c>
      <c r="C96" s="14"/>
      <c r="D96" s="1">
        <f>SUM(OSRRefD22_18x_0)</f>
        <v>0</v>
      </c>
      <c r="E96" s="1"/>
      <c r="F96" s="5">
        <f t="shared" ref="F96:F99" si="68">IF(D$12=0,0,D96/D$12)</f>
        <v>0</v>
      </c>
      <c r="G96" s="1"/>
      <c r="H96" s="1">
        <f>SUM(OSRRefH22_18x_0)</f>
        <v>0</v>
      </c>
      <c r="I96" s="1"/>
      <c r="J96" s="5">
        <f t="shared" ref="J96:J99" si="69">IF(H$12=0,0,H96/H$12)</f>
        <v>0</v>
      </c>
      <c r="K96" s="1"/>
      <c r="L96" s="1">
        <f t="shared" ref="L96:L99" si="70">+D96-H96</f>
        <v>0</v>
      </c>
      <c r="M96" s="1"/>
      <c r="N96" s="5">
        <f t="shared" ref="N96:N99" si="71">IF(H96=0,0,L96/H96)</f>
        <v>0</v>
      </c>
      <c r="O96" s="14"/>
      <c r="P96" s="1">
        <f>SUM(OSRRefP22_18x_0)</f>
        <v>0</v>
      </c>
      <c r="Q96" s="1"/>
      <c r="R96" s="5">
        <f t="shared" ref="R96:R99" si="72">IF(P$12=0,0,P96/P$12)</f>
        <v>0</v>
      </c>
      <c r="S96" s="1"/>
      <c r="T96" s="1">
        <f>SUM(OSRRefT22_18x_0)</f>
        <v>800</v>
      </c>
      <c r="U96" s="1"/>
      <c r="V96" s="5">
        <f t="shared" ref="V96:V99" si="73">IF(T$12=0,0,T96/T$12)</f>
        <v>2.4145986635196398E-3</v>
      </c>
      <c r="W96" s="1"/>
      <c r="X96" s="1">
        <f t="shared" ref="X96:X99" si="74">+P96-T96</f>
        <v>-800</v>
      </c>
      <c r="Y96" s="1"/>
      <c r="Z96" s="5">
        <f t="shared" ref="Z96:Z99" si="75">IF(T96=0,0,X96/T96)</f>
        <v>-1</v>
      </c>
    </row>
    <row r="97" spans="1:26" s="24" customFormat="1" hidden="1" outlineLevel="2" x14ac:dyDescent="0.25">
      <c r="A97" s="27"/>
      <c r="B97" s="11" t="str">
        <f>CONCATENATE("          ", "6376", " - ", "TRAINING")</f>
        <v xml:space="preserve">          6376 - TRAINING</v>
      </c>
      <c r="C97" s="11"/>
      <c r="D97" s="7"/>
      <c r="E97" s="2"/>
      <c r="F97" s="6">
        <f t="shared" si="68"/>
        <v>0</v>
      </c>
      <c r="G97" s="2"/>
      <c r="H97" s="7"/>
      <c r="I97" s="2"/>
      <c r="J97" s="6">
        <f t="shared" si="69"/>
        <v>0</v>
      </c>
      <c r="K97" s="2"/>
      <c r="L97" s="7">
        <f t="shared" si="70"/>
        <v>0</v>
      </c>
      <c r="M97" s="2"/>
      <c r="N97" s="6">
        <f t="shared" si="71"/>
        <v>0</v>
      </c>
      <c r="O97" s="11"/>
      <c r="P97" s="7"/>
      <c r="Q97" s="2"/>
      <c r="R97" s="6">
        <f t="shared" si="72"/>
        <v>0</v>
      </c>
      <c r="S97" s="2"/>
      <c r="T97" s="7">
        <v>800</v>
      </c>
      <c r="U97" s="2"/>
      <c r="V97" s="6">
        <f t="shared" si="73"/>
        <v>2.4145986635196398E-3</v>
      </c>
      <c r="W97" s="2"/>
      <c r="X97" s="7">
        <f t="shared" si="74"/>
        <v>-800</v>
      </c>
      <c r="Y97" s="2"/>
      <c r="Z97" s="6">
        <f t="shared" si="75"/>
        <v>-1</v>
      </c>
    </row>
    <row r="98" spans="1:26" s="28" customFormat="1" outlineLevel="1" collapsed="1" x14ac:dyDescent="0.25">
      <c r="A98" s="29"/>
      <c r="B98" s="14" t="str">
        <f>CONCATENATE("     ","Utilities                                         ")</f>
        <v xml:space="preserve">     Utilities                                         </v>
      </c>
      <c r="C98" s="14"/>
      <c r="D98" s="1">
        <f>SUM(OSRRefD22_19x_0)</f>
        <v>5750</v>
      </c>
      <c r="E98" s="1"/>
      <c r="F98" s="5">
        <f t="shared" si="68"/>
        <v>3.1848888930738631E-2</v>
      </c>
      <c r="G98" s="1"/>
      <c r="H98" s="1">
        <f>SUM(OSRRefH22_19x_0)</f>
        <v>8667</v>
      </c>
      <c r="I98" s="1"/>
      <c r="J98" s="5">
        <f t="shared" si="69"/>
        <v>5.48447110638621E-2</v>
      </c>
      <c r="K98" s="1"/>
      <c r="L98" s="1">
        <f t="shared" si="70"/>
        <v>-2917</v>
      </c>
      <c r="M98" s="1"/>
      <c r="N98" s="5">
        <f t="shared" si="71"/>
        <v>-0.33656397830852658</v>
      </c>
      <c r="O98" s="14"/>
      <c r="P98" s="1">
        <f>SUM(OSRRefP22_19x_0)</f>
        <v>30200</v>
      </c>
      <c r="Q98" s="1"/>
      <c r="R98" s="5">
        <f t="shared" si="72"/>
        <v>7.8915764294081633E-2</v>
      </c>
      <c r="S98" s="1"/>
      <c r="T98" s="1">
        <f>SUM(OSRRefT22_19x_0)</f>
        <v>34668</v>
      </c>
      <c r="U98" s="1"/>
      <c r="V98" s="5">
        <f t="shared" si="73"/>
        <v>0.10463663308362359</v>
      </c>
      <c r="W98" s="1"/>
      <c r="X98" s="1">
        <f t="shared" si="74"/>
        <v>-4468</v>
      </c>
      <c r="Y98" s="1"/>
      <c r="Z98" s="5">
        <f t="shared" si="75"/>
        <v>-0.12887965847467406</v>
      </c>
    </row>
    <row r="99" spans="1:26" s="24" customFormat="1" hidden="1" outlineLevel="2" x14ac:dyDescent="0.25">
      <c r="A99" s="27"/>
      <c r="B99" s="11" t="str">
        <f>CONCATENATE("          ", "6274", " - ", "UTILITIES")</f>
        <v xml:space="preserve">          6274 - UTILITIES</v>
      </c>
      <c r="C99" s="11"/>
      <c r="D99" s="7">
        <v>5750</v>
      </c>
      <c r="E99" s="2"/>
      <c r="F99" s="6">
        <f t="shared" si="68"/>
        <v>3.1848888930738631E-2</v>
      </c>
      <c r="G99" s="2"/>
      <c r="H99" s="7">
        <v>8667</v>
      </c>
      <c r="I99" s="2"/>
      <c r="J99" s="6">
        <f t="shared" si="69"/>
        <v>5.48447110638621E-2</v>
      </c>
      <c r="K99" s="2"/>
      <c r="L99" s="7">
        <f t="shared" si="70"/>
        <v>-2917</v>
      </c>
      <c r="M99" s="2"/>
      <c r="N99" s="6">
        <f t="shared" si="71"/>
        <v>-0.33656397830852658</v>
      </c>
      <c r="O99" s="11"/>
      <c r="P99" s="7">
        <v>30200</v>
      </c>
      <c r="Q99" s="2"/>
      <c r="R99" s="6">
        <f t="shared" si="72"/>
        <v>7.8915764294081633E-2</v>
      </c>
      <c r="S99" s="2"/>
      <c r="T99" s="7">
        <v>34668</v>
      </c>
      <c r="U99" s="2"/>
      <c r="V99" s="6">
        <f t="shared" si="73"/>
        <v>0.10463663308362359</v>
      </c>
      <c r="W99" s="2"/>
      <c r="X99" s="7">
        <f t="shared" si="74"/>
        <v>-4468</v>
      </c>
      <c r="Y99" s="2"/>
      <c r="Z99" s="6">
        <f t="shared" si="75"/>
        <v>-0.12887965847467406</v>
      </c>
    </row>
    <row r="100" spans="1:26" s="60" customFormat="1" x14ac:dyDescent="0.25">
      <c r="A100" s="36"/>
      <c r="B100" s="36"/>
      <c r="C100" s="36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6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25">
      <c r="A101" s="10"/>
      <c r="B101" s="25" t="s">
        <v>293</v>
      </c>
      <c r="C101" s="10"/>
      <c r="D101" s="4">
        <f>SUM(OSRRefD25x_0)</f>
        <v>6812.67</v>
      </c>
      <c r="E101" s="4"/>
      <c r="F101" s="12">
        <f t="shared" ref="F101:F104" si="76">IF(D$12=0,0,D101/D$12)</f>
        <v>3.7734951330743505E-2</v>
      </c>
      <c r="G101" s="4"/>
      <c r="H101" s="4">
        <f>SUM(OSRRefH25x_0)</f>
        <v>250</v>
      </c>
      <c r="I101" s="4"/>
      <c r="J101" s="12">
        <f t="shared" ref="J101:J104" si="77">IF(H$12=0,0,H101/H$12)</f>
        <v>1.5819981269142177E-3</v>
      </c>
      <c r="K101" s="4"/>
      <c r="L101" s="4">
        <f t="shared" ref="L101:L104" si="78">+D101-H101</f>
        <v>6562.67</v>
      </c>
      <c r="M101" s="4"/>
      <c r="N101" s="12">
        <f t="shared" ref="N101:N104" si="79">IF(H101=0,0,L101/H101)</f>
        <v>26.250679999999999</v>
      </c>
      <c r="O101" s="10"/>
      <c r="P101" s="4">
        <f>SUM(OSRRefP25x_0)</f>
        <v>24006.720000000001</v>
      </c>
      <c r="Q101" s="4"/>
      <c r="R101" s="12">
        <f t="shared" ref="R101:R104" si="80">IF(P$12=0,0,P101/P$12)</f>
        <v>6.2732074734901166E-2</v>
      </c>
      <c r="S101" s="4"/>
      <c r="T101" s="4">
        <f>SUM(OSRRefT25x_0)</f>
        <v>500</v>
      </c>
      <c r="U101" s="4"/>
      <c r="V101" s="12">
        <f t="shared" ref="V101:V104" si="81">IF(T$12=0,0,T101/T$12)</f>
        <v>1.5091241646997748E-3</v>
      </c>
      <c r="W101" s="4"/>
      <c r="X101" s="4">
        <f t="shared" ref="X101:X104" si="82">+P101-T101</f>
        <v>23506.720000000001</v>
      </c>
      <c r="Y101" s="4"/>
      <c r="Z101" s="12">
        <f t="shared" ref="Z101:Z104" si="83">IF(T101=0,0,X101/T101)</f>
        <v>47.013440000000003</v>
      </c>
    </row>
    <row r="102" spans="1:26" s="24" customFormat="1" hidden="1" outlineLevel="1" x14ac:dyDescent="0.25">
      <c r="A102" s="44"/>
      <c r="B102" s="11" t="str">
        <f>CONCATENATE("          ", "9150", " - ", "MISC. INCOME")</f>
        <v xml:space="preserve">          9150 - MISC. INCOME</v>
      </c>
      <c r="C102" s="11"/>
      <c r="D102" s="2">
        <f>--6812.67</f>
        <v>6812.67</v>
      </c>
      <c r="E102" s="2"/>
      <c r="F102" s="19">
        <f t="shared" si="76"/>
        <v>3.7734951330743505E-2</v>
      </c>
      <c r="G102" s="2"/>
      <c r="H102" s="2">
        <v>250</v>
      </c>
      <c r="I102" s="2"/>
      <c r="J102" s="19">
        <f t="shared" si="77"/>
        <v>1.5819981269142177E-3</v>
      </c>
      <c r="K102" s="2"/>
      <c r="L102" s="2">
        <f t="shared" si="78"/>
        <v>6562.67</v>
      </c>
      <c r="M102" s="2"/>
      <c r="N102" s="19">
        <f t="shared" si="79"/>
        <v>26.250679999999999</v>
      </c>
      <c r="O102" s="11"/>
      <c r="P102" s="2">
        <f>--24006.72</f>
        <v>24006.720000000001</v>
      </c>
      <c r="Q102" s="2"/>
      <c r="R102" s="19">
        <f t="shared" si="80"/>
        <v>6.2732074734901166E-2</v>
      </c>
      <c r="S102" s="2"/>
      <c r="T102" s="2">
        <v>500</v>
      </c>
      <c r="U102" s="2"/>
      <c r="V102" s="19">
        <f t="shared" si="81"/>
        <v>1.5091241646997748E-3</v>
      </c>
      <c r="W102" s="2"/>
      <c r="X102" s="2">
        <f t="shared" si="82"/>
        <v>23506.720000000001</v>
      </c>
      <c r="Y102" s="2"/>
      <c r="Z102" s="19">
        <f t="shared" si="83"/>
        <v>47.013440000000003</v>
      </c>
    </row>
    <row r="103" spans="1:26" s="24" customFormat="1" hidden="1" outlineLevel="1" x14ac:dyDescent="0.25">
      <c r="A103" s="44"/>
      <c r="B103" s="11" t="str">
        <f>CONCATENATE("          ", "9160", " - ", "MISC. INCOME")</f>
        <v xml:space="preserve">          9160 - MISC. INCOME</v>
      </c>
      <c r="C103" s="11"/>
      <c r="D103" s="2">
        <f t="shared" ref="D103:D104" si="84">0</f>
        <v>0</v>
      </c>
      <c r="E103" s="2"/>
      <c r="F103" s="19">
        <f t="shared" si="76"/>
        <v>0</v>
      </c>
      <c r="G103" s="2"/>
      <c r="H103" s="2"/>
      <c r="I103" s="2"/>
      <c r="J103" s="19">
        <f t="shared" si="77"/>
        <v>0</v>
      </c>
      <c r="K103" s="2"/>
      <c r="L103" s="2">
        <f t="shared" si="78"/>
        <v>0</v>
      </c>
      <c r="M103" s="2"/>
      <c r="N103" s="19">
        <f t="shared" si="79"/>
        <v>0</v>
      </c>
      <c r="O103" s="11"/>
      <c r="P103" s="2">
        <f t="shared" ref="P103:P104" si="85">0</f>
        <v>0</v>
      </c>
      <c r="Q103" s="2"/>
      <c r="R103" s="19">
        <f t="shared" si="80"/>
        <v>0</v>
      </c>
      <c r="S103" s="2"/>
      <c r="T103" s="2"/>
      <c r="U103" s="2"/>
      <c r="V103" s="19">
        <f t="shared" si="81"/>
        <v>0</v>
      </c>
      <c r="W103" s="2"/>
      <c r="X103" s="2">
        <f t="shared" si="82"/>
        <v>0</v>
      </c>
      <c r="Y103" s="2"/>
      <c r="Z103" s="19">
        <f t="shared" si="83"/>
        <v>0</v>
      </c>
    </row>
    <row r="104" spans="1:26" s="24" customFormat="1" hidden="1" outlineLevel="1" x14ac:dyDescent="0.25">
      <c r="A104" s="44"/>
      <c r="B104" s="11" t="str">
        <f>CONCATENATE("          ", "9165", " - ", "OTHER INCOME")</f>
        <v xml:space="preserve">          9165 - OTHER INCOME</v>
      </c>
      <c r="C104" s="11"/>
      <c r="D104" s="2">
        <f t="shared" si="84"/>
        <v>0</v>
      </c>
      <c r="E104" s="2"/>
      <c r="F104" s="19">
        <f t="shared" si="76"/>
        <v>0</v>
      </c>
      <c r="G104" s="2"/>
      <c r="H104" s="2"/>
      <c r="I104" s="2"/>
      <c r="J104" s="19">
        <f t="shared" si="77"/>
        <v>0</v>
      </c>
      <c r="K104" s="2"/>
      <c r="L104" s="2">
        <f t="shared" si="78"/>
        <v>0</v>
      </c>
      <c r="M104" s="2"/>
      <c r="N104" s="19">
        <f t="shared" si="79"/>
        <v>0</v>
      </c>
      <c r="O104" s="11"/>
      <c r="P104" s="2">
        <f t="shared" si="85"/>
        <v>0</v>
      </c>
      <c r="Q104" s="2"/>
      <c r="R104" s="19">
        <f t="shared" si="80"/>
        <v>0</v>
      </c>
      <c r="S104" s="2"/>
      <c r="T104" s="2"/>
      <c r="U104" s="2"/>
      <c r="V104" s="19">
        <f t="shared" si="81"/>
        <v>0</v>
      </c>
      <c r="W104" s="2"/>
      <c r="X104" s="2">
        <f t="shared" si="82"/>
        <v>0</v>
      </c>
      <c r="Y104" s="2"/>
      <c r="Z104" s="19">
        <f t="shared" si="83"/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10"/>
      <c r="B106" s="26" t="s">
        <v>277</v>
      </c>
      <c r="C106" s="26"/>
      <c r="D106" s="21">
        <f>+D24-D26+D101</f>
        <v>-99954.039999999921</v>
      </c>
      <c r="E106" s="13"/>
      <c r="F106" s="20">
        <f>IF(D$12=0,0,D106/D$12)</f>
        <v>-0.55363915098062677</v>
      </c>
      <c r="G106" s="13"/>
      <c r="H106" s="21">
        <f>+H24-H26+H101</f>
        <v>-94115.790943378845</v>
      </c>
      <c r="I106" s="13"/>
      <c r="J106" s="20">
        <f>IF(H$12=0,0,H106/H$12)</f>
        <v>-0.59556401994190167</v>
      </c>
      <c r="K106" s="15"/>
      <c r="L106" s="21">
        <f>+D106-H106</f>
        <v>-5838.2490566210763</v>
      </c>
      <c r="M106" s="15"/>
      <c r="N106" s="20">
        <f>IF(H106=0,0,L106/H106)</f>
        <v>6.2032619585946365E-2</v>
      </c>
      <c r="O106" s="25"/>
      <c r="P106" s="21">
        <f>+P24-P26+P101</f>
        <v>-472053.27999999991</v>
      </c>
      <c r="Q106" s="13"/>
      <c r="R106" s="20">
        <f>IF(P$12=0,0,P106/P$12)</f>
        <v>-1.2335246814148382</v>
      </c>
      <c r="S106" s="13"/>
      <c r="T106" s="21">
        <f>+T24-T26+T101</f>
        <v>-489387.83055371465</v>
      </c>
      <c r="U106" s="13"/>
      <c r="V106" s="20">
        <f>IF(T$12=0,0,T106/T$12)</f>
        <v>-1.4770940019972192</v>
      </c>
      <c r="W106" s="15"/>
      <c r="X106" s="21">
        <f>+P106-T106</f>
        <v>17334.55055371474</v>
      </c>
      <c r="Y106" s="15"/>
      <c r="Z106" s="20">
        <f>IF(T106=0,0,X106/T106)</f>
        <v>-3.5420885995676839E-2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52"/>
      <c r="B108" s="10" t="s">
        <v>128</v>
      </c>
      <c r="C108" s="10"/>
      <c r="D108" s="4">
        <v>19214.59</v>
      </c>
      <c r="E108" s="4"/>
      <c r="F108" s="12">
        <f>IF(D$12=0,0,D108/D$12)</f>
        <v>0.10642840743646631</v>
      </c>
      <c r="G108" s="4"/>
      <c r="H108" s="4">
        <v>19281</v>
      </c>
      <c r="I108" s="4"/>
      <c r="J108" s="12">
        <f>IF(H$12=0,0,H108/H$12)</f>
        <v>0.12201002354013213</v>
      </c>
      <c r="K108" s="4"/>
      <c r="L108" s="4">
        <f>+D108-H108</f>
        <v>-66.409999999999854</v>
      </c>
      <c r="M108" s="4"/>
      <c r="N108" s="12">
        <f>IF(H108=0,0,L108/H108)</f>
        <v>-3.4443234272081248E-3</v>
      </c>
      <c r="O108" s="10"/>
      <c r="P108" s="4">
        <v>44235.4</v>
      </c>
      <c r="Q108" s="4"/>
      <c r="R108" s="12">
        <f>IF(P$12=0,0,P108/P$12)</f>
        <v>0.11559173509451717</v>
      </c>
      <c r="S108" s="4"/>
      <c r="T108" s="4">
        <v>38097</v>
      </c>
      <c r="U108" s="4"/>
      <c r="V108" s="12">
        <f>IF(T$12=0,0,T108/T$12)</f>
        <v>0.11498620660513464</v>
      </c>
      <c r="W108" s="4"/>
      <c r="X108" s="4">
        <f>+P108-T108</f>
        <v>6138.4000000000015</v>
      </c>
      <c r="Y108" s="4"/>
      <c r="Z108" s="12">
        <f>IF(T108=0,0,X108/T108)</f>
        <v>0.16112554794340767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6" t="s">
        <v>126</v>
      </c>
      <c r="C110" s="26"/>
      <c r="D110" s="31">
        <f>+D106-D108</f>
        <v>-119168.62999999992</v>
      </c>
      <c r="E110" s="13"/>
      <c r="F110" s="33">
        <f>IF(D$12=0,0,D110/D$12)</f>
        <v>-0.66006755841709308</v>
      </c>
      <c r="G110" s="13"/>
      <c r="H110" s="31">
        <f>+H106-H108</f>
        <v>-113396.79094337884</v>
      </c>
      <c r="I110" s="13"/>
      <c r="J110" s="33">
        <f>IF(H$12=0,0,H110/H$12)</f>
        <v>-0.7175740434820338</v>
      </c>
      <c r="K110" s="15"/>
      <c r="L110" s="31">
        <f>D110-H110</f>
        <v>-5771.8390566210728</v>
      </c>
      <c r="M110" s="15"/>
      <c r="N110" s="33">
        <f>IF(H110=0,0,L110/H110)</f>
        <v>5.0899492027980414E-2</v>
      </c>
      <c r="O110" s="25"/>
      <c r="P110" s="31">
        <f>+P106-P108</f>
        <v>-516288.67999999993</v>
      </c>
      <c r="Q110" s="13"/>
      <c r="R110" s="33">
        <f>IF(P$12=0,0,P110/P$12)</f>
        <v>-1.3491164165093552</v>
      </c>
      <c r="S110" s="13"/>
      <c r="T110" s="31">
        <f>+T106-T108</f>
        <v>-527484.83055371465</v>
      </c>
      <c r="U110" s="13"/>
      <c r="V110" s="33">
        <f>IF(T$12=0,0,T110/T$12)</f>
        <v>-1.5920802086023538</v>
      </c>
      <c r="W110" s="15"/>
      <c r="X110" s="31">
        <f>P110-T110</f>
        <v>11196.150553714717</v>
      </c>
      <c r="Y110" s="15"/>
      <c r="Z110" s="33">
        <f>IF(T110=0,0,X110/T110)</f>
        <v>-2.1225540347694593E-2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6" t="s">
        <v>294</v>
      </c>
      <c r="C113" s="26"/>
      <c r="D113" s="35">
        <f>SUM(D110:D112)</f>
        <v>-119168.62999999992</v>
      </c>
      <c r="E113" s="13"/>
      <c r="F113" s="32">
        <f>IF(D$12=0,0,D113/D$12)</f>
        <v>-0.66006755841709308</v>
      </c>
      <c r="G113" s="13"/>
      <c r="H113" s="35">
        <f>SUM(H110:H112)</f>
        <v>-113396.79094337884</v>
      </c>
      <c r="I113" s="13"/>
      <c r="J113" s="32">
        <f>IF(H$12=0,0,H113/H$12)</f>
        <v>-0.7175740434820338</v>
      </c>
      <c r="K113" s="15"/>
      <c r="L113" s="35">
        <f>+D113-H113</f>
        <v>-5771.8390566210728</v>
      </c>
      <c r="M113" s="15"/>
      <c r="N113" s="32">
        <f>IF(H113=0,0,L113/H113)</f>
        <v>5.0899492027980414E-2</v>
      </c>
      <c r="O113" s="25"/>
      <c r="P113" s="35">
        <f>SUM(P110:P112)</f>
        <v>-516288.67999999993</v>
      </c>
      <c r="Q113" s="13"/>
      <c r="R113" s="32">
        <f>IF(P$12=0,0,P113/P$12)</f>
        <v>-1.3491164165093552</v>
      </c>
      <c r="S113" s="13"/>
      <c r="T113" s="35">
        <f>SUM(T110:T112)</f>
        <v>-527484.83055371465</v>
      </c>
      <c r="U113" s="13"/>
      <c r="V113" s="32">
        <f>IF(T$12=0,0,T113/T$12)</f>
        <v>-1.5920802086023538</v>
      </c>
      <c r="W113" s="15"/>
      <c r="X113" s="35">
        <f>+P113-T113</f>
        <v>11196.150553714717</v>
      </c>
      <c r="Y113" s="15"/>
      <c r="Z113" s="32">
        <f>IF(T113=0,0,X113/T113)</f>
        <v>-2.1225540347694593E-2</v>
      </c>
    </row>
    <row r="114" spans="1:26" ht="15.75" thickTop="1" x14ac:dyDescent="0.25">
      <c r="A114" s="9"/>
      <c r="C114" s="9"/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6" x14ac:dyDescent="0.25">
      <c r="A115" s="9"/>
      <c r="B115" s="59">
        <v>44517.962862615743</v>
      </c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6" x14ac:dyDescent="0.25">
      <c r="A116" s="9"/>
      <c r="B116" s="62" t="s">
        <v>56</v>
      </c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6" x14ac:dyDescent="0.25">
      <c r="A117" s="9"/>
      <c r="B117" s="57"/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","405", " - ", "Caffeine Lab")</f>
        <v>Department 405 - Caffeine Lab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87810.260000000009</v>
      </c>
      <c r="E12" s="4"/>
      <c r="F12" s="12"/>
      <c r="G12" s="4"/>
      <c r="H12" s="4">
        <f>SUM(OSRRefH13x_0)</f>
        <v>43745</v>
      </c>
      <c r="I12" s="4"/>
      <c r="J12" s="12"/>
      <c r="K12" s="4"/>
      <c r="L12" s="4">
        <f t="shared" ref="L12:L16" si="0">+D12-H12</f>
        <v>44065.260000000009</v>
      </c>
      <c r="M12" s="4"/>
      <c r="N12" s="12">
        <f t="shared" ref="N12:N16" si="1">IF(H12=0,0,L12/H12)</f>
        <v>1.0073210652646019</v>
      </c>
      <c r="O12" s="10"/>
      <c r="P12" s="4">
        <f>SUM(OSRRefP13x_0)</f>
        <v>169024.22</v>
      </c>
      <c r="Q12" s="4"/>
      <c r="R12" s="12"/>
      <c r="S12" s="4"/>
      <c r="T12" s="4">
        <f>SUM(OSRRefT13x_0)</f>
        <v>83101</v>
      </c>
      <c r="U12" s="4"/>
      <c r="V12" s="12"/>
      <c r="W12" s="4"/>
      <c r="X12" s="4">
        <f t="shared" ref="X12:X16" si="2">+P12-T12</f>
        <v>85923.22</v>
      </c>
      <c r="Y12" s="4"/>
      <c r="Z12" s="12">
        <f t="shared" ref="Z12:Z16" si="3">IF(T12=0,0,X12/T12)</f>
        <v>1.0339613241717909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9161</v>
      </c>
      <c r="I13" s="2"/>
      <c r="J13" s="19"/>
      <c r="K13" s="2"/>
      <c r="L13" s="2">
        <f t="shared" si="0"/>
        <v>-9161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17402</v>
      </c>
      <c r="U13" s="2"/>
      <c r="V13" s="19"/>
      <c r="W13" s="2"/>
      <c r="X13" s="2">
        <f t="shared" si="2"/>
        <v>-17402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--6578.16</f>
        <v>6578.16</v>
      </c>
      <c r="E14" s="2"/>
      <c r="F14" s="19"/>
      <c r="G14" s="2"/>
      <c r="H14" s="2"/>
      <c r="I14" s="2"/>
      <c r="J14" s="19"/>
      <c r="K14" s="2"/>
      <c r="L14" s="2">
        <f t="shared" si="0"/>
        <v>6578.16</v>
      </c>
      <c r="M14" s="2"/>
      <c r="N14" s="19">
        <f t="shared" si="1"/>
        <v>0</v>
      </c>
      <c r="O14" s="11"/>
      <c r="P14" s="2">
        <f>--17848.51</f>
        <v>17848.509999999998</v>
      </c>
      <c r="Q14" s="2"/>
      <c r="R14" s="19"/>
      <c r="S14" s="2"/>
      <c r="T14" s="2"/>
      <c r="U14" s="2"/>
      <c r="V14" s="19"/>
      <c r="W14" s="2"/>
      <c r="X14" s="2">
        <f t="shared" si="2"/>
        <v>17848.509999999998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34584</v>
      </c>
      <c r="I15" s="2"/>
      <c r="J15" s="19"/>
      <c r="K15" s="2"/>
      <c r="L15" s="2">
        <f t="shared" si="0"/>
        <v>-34584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65699</v>
      </c>
      <c r="U15" s="2"/>
      <c r="V15" s="19"/>
      <c r="W15" s="2"/>
      <c r="X15" s="2">
        <f t="shared" si="2"/>
        <v>-65699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--81232.1</f>
        <v>81232.100000000006</v>
      </c>
      <c r="E16" s="2"/>
      <c r="F16" s="19"/>
      <c r="G16" s="2"/>
      <c r="H16" s="2"/>
      <c r="I16" s="2"/>
      <c r="J16" s="19"/>
      <c r="K16" s="2"/>
      <c r="L16" s="2">
        <f t="shared" si="0"/>
        <v>81232.100000000006</v>
      </c>
      <c r="M16" s="2"/>
      <c r="N16" s="19">
        <f t="shared" si="1"/>
        <v>0</v>
      </c>
      <c r="O16" s="11"/>
      <c r="P16" s="2">
        <f>--151175.71</f>
        <v>151175.71</v>
      </c>
      <c r="Q16" s="2"/>
      <c r="R16" s="19"/>
      <c r="S16" s="2"/>
      <c r="T16" s="2"/>
      <c r="U16" s="2"/>
      <c r="V16" s="19"/>
      <c r="W16" s="2"/>
      <c r="X16" s="2">
        <f t="shared" si="2"/>
        <v>151175.71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257</v>
      </c>
      <c r="C18" s="10"/>
      <c r="D18" s="4">
        <f>SUM(OSRRefD16x_0)</f>
        <v>38243.760000000002</v>
      </c>
      <c r="E18" s="4"/>
      <c r="F18" s="12">
        <f t="shared" ref="F18:F21" si="4">IF(D$12=0,0,D18/D$12)</f>
        <v>0.43552723793324377</v>
      </c>
      <c r="G18" s="4"/>
      <c r="H18" s="4">
        <f>SUM(OSRRefH16x_0)</f>
        <v>16623</v>
      </c>
      <c r="I18" s="4"/>
      <c r="J18" s="12">
        <f t="shared" ref="J18:J21" si="5">IF(H$12=0,0,H18/H$12)</f>
        <v>0.37999771402445992</v>
      </c>
      <c r="K18" s="4"/>
      <c r="L18" s="4">
        <f t="shared" ref="L18:L21" si="6">+D18-H18</f>
        <v>21620.760000000002</v>
      </c>
      <c r="M18" s="4"/>
      <c r="N18" s="12">
        <f t="shared" ref="N18:N21" si="7">IF(H18=0,0,L18/H18)</f>
        <v>1.3006533116765928</v>
      </c>
      <c r="O18" s="10"/>
      <c r="P18" s="4">
        <f>SUM(OSRRefP16x_0)</f>
        <v>69104.72</v>
      </c>
      <c r="Q18" s="4"/>
      <c r="R18" s="12">
        <f t="shared" ref="R18:R21" si="8">IF(P$12=0,0,P18/P$12)</f>
        <v>0.40884507557555955</v>
      </c>
      <c r="S18" s="4"/>
      <c r="T18" s="4">
        <f>SUM(OSRRefT16x_0)</f>
        <v>31578</v>
      </c>
      <c r="U18" s="4"/>
      <c r="V18" s="12">
        <f t="shared" ref="V18:V21" si="9">IF(T$12=0,0,T18/T$12)</f>
        <v>0.3799954272511763</v>
      </c>
      <c r="W18" s="4"/>
      <c r="X18" s="4">
        <f t="shared" ref="X18:X21" si="10">+P18-T18</f>
        <v>37526.720000000001</v>
      </c>
      <c r="Y18" s="4"/>
      <c r="Z18" s="12">
        <f t="shared" ref="Z18:Z21" si="11">IF(T18=0,0,X18/T18)</f>
        <v>1.1883817847868769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16623</v>
      </c>
      <c r="I19" s="2"/>
      <c r="J19" s="19">
        <f t="shared" si="5"/>
        <v>0.37999771402445992</v>
      </c>
      <c r="K19" s="2"/>
      <c r="L19" s="2">
        <f t="shared" si="6"/>
        <v>-16623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31578</v>
      </c>
      <c r="U19" s="2"/>
      <c r="V19" s="19">
        <f t="shared" si="9"/>
        <v>0.3799954272511763</v>
      </c>
      <c r="W19" s="2"/>
      <c r="X19" s="2">
        <f t="shared" si="10"/>
        <v>-31578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30333.22</v>
      </c>
      <c r="E20" s="2"/>
      <c r="F20" s="19">
        <f t="shared" si="4"/>
        <v>0.34544049863876952</v>
      </c>
      <c r="G20" s="2"/>
      <c r="H20" s="2"/>
      <c r="I20" s="2"/>
      <c r="J20" s="19">
        <f t="shared" si="5"/>
        <v>0</v>
      </c>
      <c r="K20" s="2"/>
      <c r="L20" s="2">
        <f t="shared" si="6"/>
        <v>30333.22</v>
      </c>
      <c r="M20" s="2"/>
      <c r="N20" s="19">
        <f t="shared" si="7"/>
        <v>0</v>
      </c>
      <c r="O20" s="11"/>
      <c r="P20" s="2">
        <v>67082.58</v>
      </c>
      <c r="Q20" s="2"/>
      <c r="R20" s="19">
        <f t="shared" si="8"/>
        <v>0.39688146468003227</v>
      </c>
      <c r="S20" s="2"/>
      <c r="T20" s="2"/>
      <c r="U20" s="2"/>
      <c r="V20" s="19">
        <f t="shared" si="9"/>
        <v>0</v>
      </c>
      <c r="W20" s="2"/>
      <c r="X20" s="2">
        <f t="shared" si="10"/>
        <v>67082.58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7910.54</v>
      </c>
      <c r="E21" s="2"/>
      <c r="F21" s="19">
        <f t="shared" si="4"/>
        <v>9.0086739294474236E-2</v>
      </c>
      <c r="G21" s="2"/>
      <c r="H21" s="2"/>
      <c r="I21" s="2"/>
      <c r="J21" s="19">
        <f t="shared" si="5"/>
        <v>0</v>
      </c>
      <c r="K21" s="2"/>
      <c r="L21" s="2">
        <f t="shared" si="6"/>
        <v>7910.54</v>
      </c>
      <c r="M21" s="2"/>
      <c r="N21" s="19">
        <f t="shared" si="7"/>
        <v>0</v>
      </c>
      <c r="O21" s="11"/>
      <c r="P21" s="2">
        <v>2022.14</v>
      </c>
      <c r="Q21" s="2"/>
      <c r="R21" s="19">
        <f t="shared" si="8"/>
        <v>1.196361089552728E-2</v>
      </c>
      <c r="S21" s="2"/>
      <c r="T21" s="2"/>
      <c r="U21" s="2"/>
      <c r="V21" s="19">
        <f t="shared" si="9"/>
        <v>0</v>
      </c>
      <c r="W21" s="2"/>
      <c r="X21" s="2">
        <f t="shared" si="10"/>
        <v>2022.14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108</v>
      </c>
      <c r="C23" s="26"/>
      <c r="D23" s="21">
        <f>D12-D18</f>
        <v>49566.500000000007</v>
      </c>
      <c r="E23" s="13"/>
      <c r="F23" s="20">
        <f>IF(D$12=0,0,D23/D$12)</f>
        <v>0.56447276206675623</v>
      </c>
      <c r="G23" s="13"/>
      <c r="H23" s="21">
        <f>H12-H18</f>
        <v>27122</v>
      </c>
      <c r="I23" s="13"/>
      <c r="J23" s="20">
        <f>IF(H$12=0,0,H23/H$12)</f>
        <v>0.62000228597554008</v>
      </c>
      <c r="K23" s="15"/>
      <c r="L23" s="21">
        <f>+D23-H23</f>
        <v>22444.500000000007</v>
      </c>
      <c r="M23" s="15"/>
      <c r="N23" s="20">
        <f>IF(H23=0,0,L23/H23)</f>
        <v>0.82753852960696139</v>
      </c>
      <c r="O23" s="25"/>
      <c r="P23" s="21">
        <f>P12-P18</f>
        <v>99919.5</v>
      </c>
      <c r="Q23" s="13"/>
      <c r="R23" s="20">
        <f>IF(P$12=0,0,P23/P$12)</f>
        <v>0.59115492442444051</v>
      </c>
      <c r="S23" s="13"/>
      <c r="T23" s="21">
        <f>T12-T18</f>
        <v>51523</v>
      </c>
      <c r="U23" s="13"/>
      <c r="V23" s="20">
        <f>IF(T$12=0,0,T23/T$12)</f>
        <v>0.6200045727488237</v>
      </c>
      <c r="W23" s="15"/>
      <c r="X23" s="21">
        <f>+P23-T23</f>
        <v>48396.5</v>
      </c>
      <c r="Y23" s="15"/>
      <c r="Z23" s="20">
        <f>IF(T23=0,0,X23/T23)</f>
        <v>0.93931836267298097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295</v>
      </c>
      <c r="C25" s="10"/>
      <c r="D25" s="22">
        <f>SUM(OSRRefD22x_0)</f>
        <v>45456.770000000004</v>
      </c>
      <c r="E25" s="22"/>
      <c r="F25" s="34">
        <f t="shared" ref="F25:F35" si="12">IF(D$12=0,0,D25/D$12)</f>
        <v>0.51767037245989245</v>
      </c>
      <c r="G25" s="22"/>
      <c r="H25" s="22">
        <f>SUM(OSRRefH22x_0)</f>
        <v>40678.542884615381</v>
      </c>
      <c r="I25" s="22"/>
      <c r="J25" s="34">
        <f t="shared" ref="J25:J35" si="13">IF(H$12=0,0,H25/H$12)</f>
        <v>0.9299015403958254</v>
      </c>
      <c r="K25" s="4"/>
      <c r="L25" s="22">
        <f t="shared" ref="L25:L35" si="14">+D25-H25</f>
        <v>4778.2271153846232</v>
      </c>
      <c r="M25" s="4"/>
      <c r="N25" s="34">
        <f t="shared" ref="N25:N35" si="15">IF(H25=0,0,L25/H25)</f>
        <v>0.11746308438180926</v>
      </c>
      <c r="O25" s="10"/>
      <c r="P25" s="22">
        <f>SUM(OSRRefP22x_0)</f>
        <v>124928.82</v>
      </c>
      <c r="Q25" s="22"/>
      <c r="R25" s="34">
        <f t="shared" ref="R25:R35" si="16">IF(P$12=0,0,P25/P$12)</f>
        <v>0.73911786133371893</v>
      </c>
      <c r="S25" s="22"/>
      <c r="T25" s="22">
        <f>SUM(OSRRefT22x_0)</f>
        <v>123526.55925461533</v>
      </c>
      <c r="U25" s="22"/>
      <c r="V25" s="34">
        <f t="shared" ref="V25:V35" si="17">IF(T$12=0,0,T25/T$12)</f>
        <v>1.486462969815229</v>
      </c>
      <c r="W25" s="4"/>
      <c r="X25" s="22">
        <f t="shared" ref="X25:X35" si="18">+P25-T25</f>
        <v>1402.2607453846722</v>
      </c>
      <c r="Y25" s="4"/>
      <c r="Z25" s="34">
        <f t="shared" ref="Z25:Z35" si="19">IF(T25=0,0,X25/T25)</f>
        <v>1.1351896740637819E-2</v>
      </c>
    </row>
    <row r="26" spans="1:26" s="28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6602.42</v>
      </c>
      <c r="E26" s="1"/>
      <c r="F26" s="5">
        <f t="shared" si="12"/>
        <v>7.5189619071848776E-2</v>
      </c>
      <c r="G26" s="1"/>
      <c r="H26" s="1">
        <f>SUM(OSRRefH22_0x_0)</f>
        <v>4720.1967307692303</v>
      </c>
      <c r="I26" s="1"/>
      <c r="J26" s="5">
        <f t="shared" si="13"/>
        <v>0.10790254270817763</v>
      </c>
      <c r="K26" s="1"/>
      <c r="L26" s="1">
        <f t="shared" si="14"/>
        <v>1882.2232692307698</v>
      </c>
      <c r="M26" s="1"/>
      <c r="N26" s="5">
        <f t="shared" si="15"/>
        <v>0.3987594959678793</v>
      </c>
      <c r="O26" s="14"/>
      <c r="P26" s="1">
        <f>SUM(OSRRefP22_0x_0)</f>
        <v>14298.32</v>
      </c>
      <c r="Q26" s="1"/>
      <c r="R26" s="5">
        <f t="shared" si="16"/>
        <v>8.4593320412897036E-2</v>
      </c>
      <c r="S26" s="1"/>
      <c r="T26" s="1">
        <f>SUM(OSRRefT22_0x_0)</f>
        <v>16511.398100769227</v>
      </c>
      <c r="U26" s="1"/>
      <c r="V26" s="5">
        <f t="shared" si="17"/>
        <v>0.198690726955984</v>
      </c>
      <c r="W26" s="1"/>
      <c r="X26" s="1">
        <f t="shared" si="18"/>
        <v>-2213.0781007692276</v>
      </c>
      <c r="Y26" s="1"/>
      <c r="Z26" s="5">
        <f t="shared" si="19"/>
        <v>-0.13403335606487046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7">
        <v>1166.95</v>
      </c>
      <c r="E27" s="2"/>
      <c r="F27" s="6">
        <f t="shared" si="12"/>
        <v>1.3289449319475878E-2</v>
      </c>
      <c r="G27" s="2"/>
      <c r="H27" s="7">
        <v>428.27365384615399</v>
      </c>
      <c r="I27" s="2"/>
      <c r="J27" s="6">
        <f t="shared" si="13"/>
        <v>9.7902309714516852E-3</v>
      </c>
      <c r="K27" s="2"/>
      <c r="L27" s="7">
        <f t="shared" si="14"/>
        <v>738.676346153846</v>
      </c>
      <c r="M27" s="2"/>
      <c r="N27" s="6">
        <f t="shared" si="15"/>
        <v>1.7247765290255188</v>
      </c>
      <c r="O27" s="11"/>
      <c r="P27" s="7">
        <v>3010.73</v>
      </c>
      <c r="Q27" s="2"/>
      <c r="R27" s="6">
        <f t="shared" si="16"/>
        <v>1.7812417652334087E-2</v>
      </c>
      <c r="S27" s="2"/>
      <c r="T27" s="7">
        <v>1876.9100238461499</v>
      </c>
      <c r="U27" s="2"/>
      <c r="V27" s="6">
        <f t="shared" si="17"/>
        <v>2.2585889746767788E-2</v>
      </c>
      <c r="W27" s="2"/>
      <c r="X27" s="7">
        <f t="shared" si="18"/>
        <v>1133.8199761538501</v>
      </c>
      <c r="Y27" s="2"/>
      <c r="Z27" s="6">
        <f t="shared" si="19"/>
        <v>0.6040886146638158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1173.44</v>
      </c>
      <c r="E28" s="2"/>
      <c r="F28" s="6">
        <f t="shared" si="12"/>
        <v>1.3363358678131688E-2</v>
      </c>
      <c r="G28" s="2"/>
      <c r="H28" s="7">
        <v>932.19423076923101</v>
      </c>
      <c r="I28" s="2"/>
      <c r="J28" s="6">
        <f t="shared" si="13"/>
        <v>2.1309732101251137E-2</v>
      </c>
      <c r="K28" s="2"/>
      <c r="L28" s="7">
        <f t="shared" si="14"/>
        <v>241.24576923076904</v>
      </c>
      <c r="M28" s="2"/>
      <c r="N28" s="6">
        <f t="shared" si="15"/>
        <v>0.2587934587748919</v>
      </c>
      <c r="O28" s="11"/>
      <c r="P28" s="7">
        <v>2392.7800000000002</v>
      </c>
      <c r="Q28" s="2"/>
      <c r="R28" s="6">
        <f t="shared" si="16"/>
        <v>1.4156432728989964E-2</v>
      </c>
      <c r="S28" s="2"/>
      <c r="T28" s="7">
        <v>2485.6962807692298</v>
      </c>
      <c r="U28" s="2"/>
      <c r="V28" s="6">
        <f t="shared" si="17"/>
        <v>2.991174932635263E-2</v>
      </c>
      <c r="W28" s="2"/>
      <c r="X28" s="7">
        <f t="shared" si="18"/>
        <v>-92.916280769229616</v>
      </c>
      <c r="Y28" s="2"/>
      <c r="Z28" s="6">
        <f t="shared" si="19"/>
        <v>-3.7380383713039755E-2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7">
        <v>2055.31</v>
      </c>
      <c r="E29" s="2"/>
      <c r="F29" s="6">
        <f t="shared" si="12"/>
        <v>2.3406262548362797E-2</v>
      </c>
      <c r="G29" s="2"/>
      <c r="H29" s="7">
        <v>1977</v>
      </c>
      <c r="I29" s="2"/>
      <c r="J29" s="6">
        <f t="shared" si="13"/>
        <v>4.519373642702023E-2</v>
      </c>
      <c r="K29" s="2"/>
      <c r="L29" s="7">
        <f t="shared" si="14"/>
        <v>78.309999999999945</v>
      </c>
      <c r="M29" s="2"/>
      <c r="N29" s="6">
        <f t="shared" si="15"/>
        <v>3.9610520991401083E-2</v>
      </c>
      <c r="O29" s="11"/>
      <c r="P29" s="7">
        <v>3464.91</v>
      </c>
      <c r="Q29" s="2"/>
      <c r="R29" s="6">
        <f t="shared" si="16"/>
        <v>2.0499488179859665E-2</v>
      </c>
      <c r="S29" s="2"/>
      <c r="T29" s="7">
        <v>7908</v>
      </c>
      <c r="U29" s="2"/>
      <c r="V29" s="6">
        <f t="shared" si="17"/>
        <v>9.5161309731531515E-2</v>
      </c>
      <c r="W29" s="2"/>
      <c r="X29" s="7">
        <f t="shared" si="18"/>
        <v>-4443.09</v>
      </c>
      <c r="Y29" s="2"/>
      <c r="Z29" s="6">
        <f t="shared" si="19"/>
        <v>-0.56184749620637331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84.75</v>
      </c>
      <c r="E30" s="2"/>
      <c r="F30" s="6">
        <f t="shared" si="12"/>
        <v>9.6514917505084253E-4</v>
      </c>
      <c r="G30" s="2"/>
      <c r="H30" s="7">
        <v>51.651923076923097</v>
      </c>
      <c r="I30" s="2"/>
      <c r="J30" s="6">
        <f t="shared" si="13"/>
        <v>1.1807503275099577E-3</v>
      </c>
      <c r="K30" s="2"/>
      <c r="L30" s="7">
        <f t="shared" si="14"/>
        <v>33.098076923076903</v>
      </c>
      <c r="M30" s="2"/>
      <c r="N30" s="6">
        <f t="shared" si="15"/>
        <v>0.6407907963811007</v>
      </c>
      <c r="O30" s="11"/>
      <c r="P30" s="7">
        <v>172.81</v>
      </c>
      <c r="Q30" s="2"/>
      <c r="R30" s="6">
        <f t="shared" si="16"/>
        <v>1.0223978551712886E-3</v>
      </c>
      <c r="S30" s="2"/>
      <c r="T30" s="7">
        <v>137.72987307692301</v>
      </c>
      <c r="U30" s="2"/>
      <c r="V30" s="6">
        <f t="shared" si="17"/>
        <v>1.6573792502728368E-3</v>
      </c>
      <c r="W30" s="2"/>
      <c r="X30" s="7">
        <f t="shared" si="18"/>
        <v>35.080126923076989</v>
      </c>
      <c r="Y30" s="2"/>
      <c r="Z30" s="6">
        <f t="shared" si="19"/>
        <v>0.25470238329112899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7">
        <v>613.04</v>
      </c>
      <c r="E31" s="2"/>
      <c r="F31" s="6">
        <f t="shared" si="12"/>
        <v>6.9814165223972676E-3</v>
      </c>
      <c r="G31" s="2"/>
      <c r="H31" s="7">
        <v>481.269230769231</v>
      </c>
      <c r="I31" s="2"/>
      <c r="J31" s="6">
        <f t="shared" si="13"/>
        <v>1.100169689722782E-2</v>
      </c>
      <c r="K31" s="2"/>
      <c r="L31" s="7">
        <f t="shared" si="14"/>
        <v>131.77076923076896</v>
      </c>
      <c r="M31" s="2"/>
      <c r="N31" s="6">
        <f t="shared" si="15"/>
        <v>0.27379844961240241</v>
      </c>
      <c r="O31" s="11"/>
      <c r="P31" s="7">
        <v>1675.63</v>
      </c>
      <c r="Q31" s="2"/>
      <c r="R31" s="6">
        <f t="shared" si="16"/>
        <v>9.9135496676156839E-3</v>
      </c>
      <c r="S31" s="2"/>
      <c r="T31" s="7">
        <v>1732.56923076923</v>
      </c>
      <c r="U31" s="2"/>
      <c r="V31" s="6">
        <f t="shared" si="17"/>
        <v>2.084895766319575E-2</v>
      </c>
      <c r="W31" s="2"/>
      <c r="X31" s="7">
        <f t="shared" si="18"/>
        <v>-56.93923076922988</v>
      </c>
      <c r="Y31" s="2"/>
      <c r="Z31" s="6">
        <f t="shared" si="19"/>
        <v>-3.286404361686019E-2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7">
        <v>495.75</v>
      </c>
      <c r="E33" s="2"/>
      <c r="F33" s="6">
        <f t="shared" si="12"/>
        <v>5.6456956168903262E-3</v>
      </c>
      <c r="G33" s="2"/>
      <c r="H33" s="7">
        <v>167.88461538461499</v>
      </c>
      <c r="I33" s="2"/>
      <c r="J33" s="6">
        <f t="shared" si="13"/>
        <v>3.8378012432189962E-3</v>
      </c>
      <c r="K33" s="2"/>
      <c r="L33" s="7">
        <f t="shared" si="14"/>
        <v>327.86538461538498</v>
      </c>
      <c r="M33" s="2"/>
      <c r="N33" s="6">
        <f t="shared" si="15"/>
        <v>1.9529209621993195</v>
      </c>
      <c r="O33" s="11"/>
      <c r="P33" s="7">
        <v>1179.25</v>
      </c>
      <c r="Q33" s="2"/>
      <c r="R33" s="6">
        <f t="shared" si="16"/>
        <v>6.9768107789522707E-3</v>
      </c>
      <c r="S33" s="2"/>
      <c r="T33" s="7">
        <v>604.38461538461399</v>
      </c>
      <c r="U33" s="2"/>
      <c r="V33" s="6">
        <f t="shared" si="17"/>
        <v>7.2728922080915271E-3</v>
      </c>
      <c r="W33" s="2"/>
      <c r="X33" s="7">
        <f t="shared" si="18"/>
        <v>574.86538461538601</v>
      </c>
      <c r="Y33" s="2"/>
      <c r="Z33" s="6">
        <f t="shared" si="19"/>
        <v>0.95115820287642039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7">
        <v>593.94000000000005</v>
      </c>
      <c r="E34" s="2"/>
      <c r="F34" s="6">
        <f t="shared" si="12"/>
        <v>6.763902077046577E-3</v>
      </c>
      <c r="G34" s="2"/>
      <c r="H34" s="7">
        <v>681.92307692307702</v>
      </c>
      <c r="I34" s="2"/>
      <c r="J34" s="6">
        <f t="shared" si="13"/>
        <v>1.5588594740497817E-2</v>
      </c>
      <c r="K34" s="2"/>
      <c r="L34" s="7">
        <f t="shared" si="14"/>
        <v>-87.983076923076965</v>
      </c>
      <c r="M34" s="2"/>
      <c r="N34" s="6">
        <f t="shared" si="15"/>
        <v>-0.1290219966159053</v>
      </c>
      <c r="O34" s="11"/>
      <c r="P34" s="7">
        <v>1412.82</v>
      </c>
      <c r="Q34" s="2"/>
      <c r="R34" s="6">
        <f t="shared" si="16"/>
        <v>8.3586837436670312E-3</v>
      </c>
      <c r="S34" s="2"/>
      <c r="T34" s="7">
        <v>1766.10807692308</v>
      </c>
      <c r="U34" s="2"/>
      <c r="V34" s="6">
        <f t="shared" si="17"/>
        <v>2.1252549029771965E-2</v>
      </c>
      <c r="W34" s="2"/>
      <c r="X34" s="7">
        <f t="shared" si="18"/>
        <v>-353.2880769230801</v>
      </c>
      <c r="Y34" s="2"/>
      <c r="Z34" s="6">
        <f t="shared" si="19"/>
        <v>-0.20003763163723245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7">
        <v>419.24</v>
      </c>
      <c r="E35" s="2"/>
      <c r="F35" s="6">
        <f t="shared" si="12"/>
        <v>4.7743851344933946E-3</v>
      </c>
      <c r="G35" s="2"/>
      <c r="H35" s="7"/>
      <c r="I35" s="2"/>
      <c r="J35" s="6">
        <f t="shared" si="13"/>
        <v>0</v>
      </c>
      <c r="K35" s="2"/>
      <c r="L35" s="7">
        <f t="shared" si="14"/>
        <v>419.24</v>
      </c>
      <c r="M35" s="2"/>
      <c r="N35" s="6">
        <f t="shared" si="15"/>
        <v>0</v>
      </c>
      <c r="O35" s="11"/>
      <c r="P35" s="7">
        <v>989.39</v>
      </c>
      <c r="Q35" s="2"/>
      <c r="R35" s="6">
        <f t="shared" si="16"/>
        <v>5.8535398063070485E-3</v>
      </c>
      <c r="S35" s="2"/>
      <c r="T35" s="7"/>
      <c r="U35" s="2"/>
      <c r="V35" s="6">
        <f t="shared" si="17"/>
        <v>0</v>
      </c>
      <c r="W35" s="2"/>
      <c r="X35" s="7">
        <f t="shared" si="18"/>
        <v>989.39</v>
      </c>
      <c r="Y35" s="2"/>
      <c r="Z35" s="6">
        <f t="shared" si="19"/>
        <v>0</v>
      </c>
    </row>
    <row r="36" spans="1:26" s="28" customFormat="1" outlineLevel="1" collapsed="1" x14ac:dyDescent="0.25">
      <c r="A36" s="29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25918.940000000002</v>
      </c>
      <c r="E36" s="1"/>
      <c r="F36" s="5">
        <f t="shared" ref="F36:F46" si="20">IF(D$12=0,0,D36/D$12)</f>
        <v>0.29516983550669362</v>
      </c>
      <c r="G36" s="1"/>
      <c r="H36" s="1">
        <f>SUM(OSRRefH22_1x_0)</f>
        <v>23746.346153846149</v>
      </c>
      <c r="I36" s="1"/>
      <c r="J36" s="5">
        <f t="shared" ref="J36:J46" si="21">IF(H$12=0,0,H36/H$12)</f>
        <v>0.54283566473531031</v>
      </c>
      <c r="K36" s="1"/>
      <c r="L36" s="1">
        <f t="shared" ref="L36:L46" si="22">+D36-H36</f>
        <v>2172.5938461538535</v>
      </c>
      <c r="M36" s="1"/>
      <c r="N36" s="5">
        <f t="shared" ref="N36:N46" si="23">IF(H36=0,0,L36/H36)</f>
        <v>9.1491711275419219E-2</v>
      </c>
      <c r="O36" s="14"/>
      <c r="P36" s="1">
        <f>SUM(OSRRefP22_1x_0)</f>
        <v>64737.020000000004</v>
      </c>
      <c r="Q36" s="1"/>
      <c r="R36" s="5">
        <f t="shared" ref="R36:R46" si="24">IF(P$12=0,0,P36/P$12)</f>
        <v>0.38300440019779414</v>
      </c>
      <c r="S36" s="1"/>
      <c r="T36" s="1">
        <f>SUM(OSRRefT22_1x_0)</f>
        <v>63215.1611538461</v>
      </c>
      <c r="U36" s="1"/>
      <c r="V36" s="5">
        <f t="shared" ref="V36:V46" si="25">IF(T$12=0,0,T36/T$12)</f>
        <v>0.7607027731777728</v>
      </c>
      <c r="W36" s="1"/>
      <c r="X36" s="1">
        <f t="shared" ref="X36:X46" si="26">+P36-T36</f>
        <v>1521.8588461539039</v>
      </c>
      <c r="Y36" s="1"/>
      <c r="Z36" s="5">
        <f t="shared" ref="Z36:Z46" si="27">IF(T36=0,0,X36/T36)</f>
        <v>2.4074269817175208E-2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7">
        <v>6730.93</v>
      </c>
      <c r="E38" s="2"/>
      <c r="F38" s="6">
        <f t="shared" si="20"/>
        <v>7.6653115478760678E-2</v>
      </c>
      <c r="G38" s="2"/>
      <c r="H38" s="7">
        <v>5316.3461538461497</v>
      </c>
      <c r="I38" s="2"/>
      <c r="J38" s="6">
        <f t="shared" si="21"/>
        <v>0.12153037270193508</v>
      </c>
      <c r="K38" s="2"/>
      <c r="L38" s="7">
        <f t="shared" si="22"/>
        <v>1414.5838461538506</v>
      </c>
      <c r="M38" s="2"/>
      <c r="N38" s="6">
        <f t="shared" si="23"/>
        <v>0.26608196780611426</v>
      </c>
      <c r="O38" s="11"/>
      <c r="P38" s="7">
        <v>21807.7</v>
      </c>
      <c r="Q38" s="2"/>
      <c r="R38" s="6">
        <f t="shared" si="24"/>
        <v>0.12902115448306758</v>
      </c>
      <c r="S38" s="2"/>
      <c r="T38" s="7">
        <v>19138.846153846102</v>
      </c>
      <c r="U38" s="2"/>
      <c r="V38" s="6">
        <f t="shared" si="25"/>
        <v>0.23030825325623158</v>
      </c>
      <c r="W38" s="2"/>
      <c r="X38" s="7">
        <f t="shared" si="26"/>
        <v>2668.8538461538992</v>
      </c>
      <c r="Y38" s="2"/>
      <c r="Z38" s="6">
        <f t="shared" si="27"/>
        <v>0.13944695645184293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7">
        <v>3004.1</v>
      </c>
      <c r="E40" s="2"/>
      <c r="F40" s="6">
        <f t="shared" si="20"/>
        <v>3.421126415068125E-2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3004.1</v>
      </c>
      <c r="M40" s="2"/>
      <c r="N40" s="6">
        <f t="shared" si="23"/>
        <v>0</v>
      </c>
      <c r="O40" s="11"/>
      <c r="P40" s="7">
        <v>4286.9799999999996</v>
      </c>
      <c r="Q40" s="2"/>
      <c r="R40" s="6">
        <f t="shared" si="24"/>
        <v>2.5363110683190845E-2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4286.9799999999996</v>
      </c>
      <c r="Y40" s="2"/>
      <c r="Z40" s="6">
        <f t="shared" si="27"/>
        <v>0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7">
        <v>3543.18</v>
      </c>
      <c r="E41" s="2"/>
      <c r="F41" s="6">
        <f t="shared" si="20"/>
        <v>4.0350410077364528E-2</v>
      </c>
      <c r="G41" s="2"/>
      <c r="H41" s="7">
        <v>9231.49</v>
      </c>
      <c r="I41" s="2"/>
      <c r="J41" s="6">
        <f t="shared" si="21"/>
        <v>0.21102960338324381</v>
      </c>
      <c r="K41" s="2"/>
      <c r="L41" s="7">
        <f t="shared" si="22"/>
        <v>-5688.3099999999995</v>
      </c>
      <c r="M41" s="2"/>
      <c r="N41" s="6">
        <f t="shared" si="23"/>
        <v>-0.61618546951792175</v>
      </c>
      <c r="O41" s="11"/>
      <c r="P41" s="7">
        <v>8176.07</v>
      </c>
      <c r="Q41" s="2"/>
      <c r="R41" s="6">
        <f t="shared" si="24"/>
        <v>4.8372180034316974E-2</v>
      </c>
      <c r="S41" s="2"/>
      <c r="T41" s="7">
        <v>23302.31</v>
      </c>
      <c r="U41" s="2"/>
      <c r="V41" s="6">
        <f t="shared" si="25"/>
        <v>0.28040950169071371</v>
      </c>
      <c r="W41" s="2"/>
      <c r="X41" s="7">
        <f t="shared" si="26"/>
        <v>-15126.240000000002</v>
      </c>
      <c r="Y41" s="2"/>
      <c r="Z41" s="6">
        <f t="shared" si="27"/>
        <v>-0.64913049392957178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7">
        <v>12640.73</v>
      </c>
      <c r="E43" s="2"/>
      <c r="F43" s="6">
        <f t="shared" si="20"/>
        <v>0.14395504579988713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12640.73</v>
      </c>
      <c r="M43" s="2"/>
      <c r="N43" s="6">
        <f t="shared" si="23"/>
        <v>0</v>
      </c>
      <c r="O43" s="11"/>
      <c r="P43" s="7">
        <v>30466.27</v>
      </c>
      <c r="Q43" s="2"/>
      <c r="R43" s="6">
        <f t="shared" si="24"/>
        <v>0.18024795499721874</v>
      </c>
      <c r="S43" s="2"/>
      <c r="T43" s="7">
        <v>4247.63</v>
      </c>
      <c r="U43" s="2"/>
      <c r="V43" s="6">
        <f t="shared" si="25"/>
        <v>5.1114066016052756E-2</v>
      </c>
      <c r="W43" s="2"/>
      <c r="X43" s="7">
        <f t="shared" si="26"/>
        <v>26218.639999999999</v>
      </c>
      <c r="Y43" s="2"/>
      <c r="Z43" s="6">
        <f t="shared" si="27"/>
        <v>6.1725338600584321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9198.51</v>
      </c>
      <c r="I44" s="2"/>
      <c r="J44" s="6">
        <f t="shared" si="21"/>
        <v>0.21027568865013144</v>
      </c>
      <c r="K44" s="2"/>
      <c r="L44" s="7">
        <f t="shared" si="22"/>
        <v>-9198.51</v>
      </c>
      <c r="M44" s="2"/>
      <c r="N44" s="6">
        <f t="shared" si="23"/>
        <v>-1</v>
      </c>
      <c r="O44" s="11"/>
      <c r="P44" s="7"/>
      <c r="Q44" s="2"/>
      <c r="R44" s="6">
        <f t="shared" si="24"/>
        <v>0</v>
      </c>
      <c r="S44" s="2"/>
      <c r="T44" s="7">
        <v>16526.375</v>
      </c>
      <c r="U44" s="2"/>
      <c r="V44" s="6">
        <f t="shared" si="25"/>
        <v>0.1988709522147748</v>
      </c>
      <c r="W44" s="2"/>
      <c r="X44" s="7">
        <f t="shared" si="26"/>
        <v>-16526.375</v>
      </c>
      <c r="Y44" s="2"/>
      <c r="Z44" s="6">
        <f t="shared" si="27"/>
        <v>-1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8" customFormat="1" outlineLevel="1" collapsed="1" x14ac:dyDescent="0.25">
      <c r="A47" s="29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0</v>
      </c>
      <c r="E47" s="1"/>
      <c r="F47" s="5">
        <f t="shared" ref="F47:F55" si="28">IF(D$12=0,0,D47/D$12)</f>
        <v>0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0</v>
      </c>
      <c r="M47" s="1"/>
      <c r="N47" s="5">
        <f t="shared" ref="N47:N55" si="31">IF(H47=0,0,L47/H47)</f>
        <v>0</v>
      </c>
      <c r="O47" s="14"/>
      <c r="P47" s="1">
        <f>SUM(OSRRefP22_2x_0)</f>
        <v>209.79</v>
      </c>
      <c r="Q47" s="1"/>
      <c r="R47" s="5">
        <f t="shared" ref="R47:R55" si="32">IF(P$12=0,0,P47/P$12)</f>
        <v>1.2411830683200311E-3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209.79</v>
      </c>
      <c r="Y47" s="1"/>
      <c r="Z47" s="5">
        <f t="shared" ref="Z47:Z55" si="35">IF(T47=0,0,X47/T47)</f>
        <v>0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209.79</v>
      </c>
      <c r="Q48" s="2"/>
      <c r="R48" s="6">
        <f t="shared" si="32"/>
        <v>1.2411830683200311E-3</v>
      </c>
      <c r="S48" s="2"/>
      <c r="T48" s="7"/>
      <c r="U48" s="2"/>
      <c r="V48" s="6">
        <f t="shared" si="33"/>
        <v>0</v>
      </c>
      <c r="W48" s="2"/>
      <c r="X48" s="7">
        <f t="shared" si="34"/>
        <v>209.79</v>
      </c>
      <c r="Y48" s="2"/>
      <c r="Z48" s="6">
        <f t="shared" si="35"/>
        <v>0</v>
      </c>
    </row>
    <row r="49" spans="1:26" s="28" customFormat="1" outlineLevel="1" collapsed="1" x14ac:dyDescent="0.25">
      <c r="A49" s="29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5.47</v>
      </c>
      <c r="E49" s="1"/>
      <c r="F49" s="5">
        <f t="shared" si="28"/>
        <v>6.2293403982632538E-5</v>
      </c>
      <c r="G49" s="1"/>
      <c r="H49" s="1">
        <f>SUM(OSRRefH22_3x_0)</f>
        <v>0</v>
      </c>
      <c r="I49" s="1"/>
      <c r="J49" s="5">
        <f t="shared" si="29"/>
        <v>0</v>
      </c>
      <c r="K49" s="1"/>
      <c r="L49" s="1">
        <f t="shared" si="30"/>
        <v>5.47</v>
      </c>
      <c r="M49" s="1"/>
      <c r="N49" s="5">
        <f t="shared" si="31"/>
        <v>0</v>
      </c>
      <c r="O49" s="14"/>
      <c r="P49" s="1">
        <f>SUM(OSRRefP22_3x_0)</f>
        <v>-89.04</v>
      </c>
      <c r="Q49" s="1"/>
      <c r="R49" s="5">
        <f t="shared" si="32"/>
        <v>-5.2678840937707037E-4</v>
      </c>
      <c r="S49" s="1"/>
      <c r="T49" s="1">
        <f>SUM(OSRRefT22_3x_0)</f>
        <v>0</v>
      </c>
      <c r="U49" s="1"/>
      <c r="V49" s="5">
        <f t="shared" si="33"/>
        <v>0</v>
      </c>
      <c r="W49" s="1"/>
      <c r="X49" s="1">
        <f t="shared" si="34"/>
        <v>-89.04</v>
      </c>
      <c r="Y49" s="1"/>
      <c r="Z49" s="5">
        <f t="shared" si="35"/>
        <v>0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7">
        <v>5.47</v>
      </c>
      <c r="E50" s="2"/>
      <c r="F50" s="6">
        <f t="shared" si="28"/>
        <v>6.2293403982632538E-5</v>
      </c>
      <c r="G50" s="2"/>
      <c r="H50" s="7"/>
      <c r="I50" s="2"/>
      <c r="J50" s="6">
        <f t="shared" si="29"/>
        <v>0</v>
      </c>
      <c r="K50" s="2"/>
      <c r="L50" s="7">
        <f t="shared" si="30"/>
        <v>5.47</v>
      </c>
      <c r="M50" s="2"/>
      <c r="N50" s="6">
        <f t="shared" si="31"/>
        <v>0</v>
      </c>
      <c r="O50" s="11"/>
      <c r="P50" s="7">
        <v>-89.04</v>
      </c>
      <c r="Q50" s="2"/>
      <c r="R50" s="6">
        <f t="shared" si="32"/>
        <v>-5.2678840937707037E-4</v>
      </c>
      <c r="S50" s="2"/>
      <c r="T50" s="7"/>
      <c r="U50" s="2"/>
      <c r="V50" s="6">
        <f t="shared" si="33"/>
        <v>0</v>
      </c>
      <c r="W50" s="2"/>
      <c r="X50" s="7">
        <f t="shared" si="34"/>
        <v>-89.04</v>
      </c>
      <c r="Y50" s="2"/>
      <c r="Z50" s="6">
        <f t="shared" si="35"/>
        <v>0</v>
      </c>
    </row>
    <row r="51" spans="1:26" s="28" customFormat="1" outlineLevel="1" collapsed="1" x14ac:dyDescent="0.25">
      <c r="A51" s="29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2833.08</v>
      </c>
      <c r="E51" s="1"/>
      <c r="F51" s="5">
        <f t="shared" si="28"/>
        <v>3.2263655750478355E-2</v>
      </c>
      <c r="G51" s="1"/>
      <c r="H51" s="1">
        <f>SUM(OSRRefH22_4x_0)</f>
        <v>1671</v>
      </c>
      <c r="I51" s="1"/>
      <c r="J51" s="5">
        <f t="shared" si="29"/>
        <v>3.8198651274431367E-2</v>
      </c>
      <c r="K51" s="1"/>
      <c r="L51" s="1">
        <f t="shared" si="30"/>
        <v>1162.08</v>
      </c>
      <c r="M51" s="1"/>
      <c r="N51" s="5">
        <f t="shared" si="31"/>
        <v>0.69543985637342909</v>
      </c>
      <c r="O51" s="14"/>
      <c r="P51" s="1">
        <f>SUM(OSRRefP22_4x_0)</f>
        <v>6142.6</v>
      </c>
      <c r="Q51" s="1"/>
      <c r="R51" s="5">
        <f t="shared" si="32"/>
        <v>3.63415373252425E-2</v>
      </c>
      <c r="S51" s="1"/>
      <c r="T51" s="1">
        <f>SUM(OSRRefT22_4x_0)</f>
        <v>3174</v>
      </c>
      <c r="U51" s="1"/>
      <c r="V51" s="5">
        <f t="shared" si="33"/>
        <v>3.8194486227602555E-2</v>
      </c>
      <c r="W51" s="1"/>
      <c r="X51" s="1">
        <f t="shared" si="34"/>
        <v>2968.6000000000004</v>
      </c>
      <c r="Y51" s="1"/>
      <c r="Z51" s="5">
        <f t="shared" si="35"/>
        <v>0.93528670447385009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7">
        <v>2833.08</v>
      </c>
      <c r="E52" s="2"/>
      <c r="F52" s="6">
        <f t="shared" si="28"/>
        <v>3.2263655750478355E-2</v>
      </c>
      <c r="G52" s="2"/>
      <c r="H52" s="7">
        <v>1671</v>
      </c>
      <c r="I52" s="2"/>
      <c r="J52" s="6">
        <f t="shared" si="29"/>
        <v>3.8198651274431367E-2</v>
      </c>
      <c r="K52" s="2"/>
      <c r="L52" s="7">
        <f t="shared" si="30"/>
        <v>1162.08</v>
      </c>
      <c r="M52" s="2"/>
      <c r="N52" s="6">
        <f t="shared" si="31"/>
        <v>0.69543985637342909</v>
      </c>
      <c r="O52" s="11"/>
      <c r="P52" s="7">
        <v>6142.6</v>
      </c>
      <c r="Q52" s="2"/>
      <c r="R52" s="6">
        <f t="shared" si="32"/>
        <v>3.63415373252425E-2</v>
      </c>
      <c r="S52" s="2"/>
      <c r="T52" s="7">
        <v>3174</v>
      </c>
      <c r="U52" s="2"/>
      <c r="V52" s="6">
        <f t="shared" si="33"/>
        <v>3.8194486227602555E-2</v>
      </c>
      <c r="W52" s="2"/>
      <c r="X52" s="7">
        <f t="shared" si="34"/>
        <v>2968.6000000000004</v>
      </c>
      <c r="Y52" s="2"/>
      <c r="Z52" s="6">
        <f t="shared" si="35"/>
        <v>0.93528670447385009</v>
      </c>
    </row>
    <row r="53" spans="1:26" s="28" customFormat="1" outlineLevel="1" collapsed="1" x14ac:dyDescent="0.25">
      <c r="A53" s="29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4626.5</v>
      </c>
      <c r="E53" s="1"/>
      <c r="F53" s="5">
        <f t="shared" si="28"/>
        <v>5.2687464995548348E-2</v>
      </c>
      <c r="G53" s="1"/>
      <c r="H53" s="1">
        <f>SUM(OSRRefH22_5x_0)</f>
        <v>4733</v>
      </c>
      <c r="I53" s="1"/>
      <c r="J53" s="5">
        <f t="shared" si="29"/>
        <v>0.10819522231112128</v>
      </c>
      <c r="K53" s="1"/>
      <c r="L53" s="1">
        <f t="shared" si="30"/>
        <v>-106.5</v>
      </c>
      <c r="M53" s="1"/>
      <c r="N53" s="5">
        <f t="shared" si="31"/>
        <v>-2.2501584618635113E-2</v>
      </c>
      <c r="O53" s="14"/>
      <c r="P53" s="1">
        <f>SUM(OSRRefP22_5x_0)</f>
        <v>18506</v>
      </c>
      <c r="Q53" s="1"/>
      <c r="R53" s="5">
        <f t="shared" si="32"/>
        <v>0.10948726756437628</v>
      </c>
      <c r="S53" s="1"/>
      <c r="T53" s="1">
        <f>SUM(OSRRefT22_5x_0)</f>
        <v>18932</v>
      </c>
      <c r="U53" s="1"/>
      <c r="V53" s="5">
        <f t="shared" si="33"/>
        <v>0.22781915981757139</v>
      </c>
      <c r="W53" s="1"/>
      <c r="X53" s="1">
        <f t="shared" si="34"/>
        <v>-426</v>
      </c>
      <c r="Y53" s="1"/>
      <c r="Z53" s="5">
        <f t="shared" si="35"/>
        <v>-2.2501584618635113E-2</v>
      </c>
    </row>
    <row r="54" spans="1:26" s="24" customFormat="1" hidden="1" outlineLevel="2" x14ac:dyDescent="0.25">
      <c r="A54" s="27"/>
      <c r="B54" s="11" t="str">
        <f>CONCATENATE("          ", "6321", " - ", "BUILDING DEPRECIATION")</f>
        <v xml:space="preserve">          6321 - BUILDING DEPRECIATION</v>
      </c>
      <c r="C54" s="11"/>
      <c r="D54" s="7">
        <v>4626.5</v>
      </c>
      <c r="E54" s="2"/>
      <c r="F54" s="6">
        <f t="shared" si="28"/>
        <v>5.2687464995548348E-2</v>
      </c>
      <c r="G54" s="2"/>
      <c r="H54" s="7"/>
      <c r="I54" s="2"/>
      <c r="J54" s="6">
        <f t="shared" si="29"/>
        <v>0</v>
      </c>
      <c r="K54" s="2"/>
      <c r="L54" s="7">
        <f t="shared" si="30"/>
        <v>4626.5</v>
      </c>
      <c r="M54" s="2"/>
      <c r="N54" s="6">
        <f t="shared" si="31"/>
        <v>0</v>
      </c>
      <c r="O54" s="11"/>
      <c r="P54" s="7">
        <v>18506</v>
      </c>
      <c r="Q54" s="2"/>
      <c r="R54" s="6">
        <f t="shared" si="32"/>
        <v>0.10948726756437628</v>
      </c>
      <c r="S54" s="2"/>
      <c r="T54" s="7"/>
      <c r="U54" s="2"/>
      <c r="V54" s="6">
        <f t="shared" si="33"/>
        <v>0</v>
      </c>
      <c r="W54" s="2"/>
      <c r="X54" s="7">
        <f t="shared" si="34"/>
        <v>18506</v>
      </c>
      <c r="Y54" s="2"/>
      <c r="Z54" s="6">
        <f t="shared" si="35"/>
        <v>0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/>
      <c r="E55" s="2"/>
      <c r="F55" s="6">
        <f t="shared" si="28"/>
        <v>0</v>
      </c>
      <c r="G55" s="2"/>
      <c r="H55" s="7">
        <v>4733</v>
      </c>
      <c r="I55" s="2"/>
      <c r="J55" s="6">
        <f t="shared" si="29"/>
        <v>0.10819522231112128</v>
      </c>
      <c r="K55" s="2"/>
      <c r="L55" s="7">
        <f t="shared" si="30"/>
        <v>-4733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18932</v>
      </c>
      <c r="U55" s="2"/>
      <c r="V55" s="6">
        <f t="shared" si="33"/>
        <v>0.22781915981757139</v>
      </c>
      <c r="W55" s="2"/>
      <c r="X55" s="7">
        <f t="shared" si="34"/>
        <v>-18932</v>
      </c>
      <c r="Y55" s="2"/>
      <c r="Z55" s="6">
        <f t="shared" si="35"/>
        <v>-1</v>
      </c>
    </row>
    <row r="56" spans="1:26" s="28" customFormat="1" outlineLevel="1" collapsed="1" x14ac:dyDescent="0.25">
      <c r="A56" s="29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SUM(OSRRefD22_6x_0)</f>
        <v>73.22</v>
      </c>
      <c r="E56" s="1"/>
      <c r="F56" s="5">
        <f t="shared" ref="F56:F64" si="36">IF(D$12=0,0,D56/D$12)</f>
        <v>8.3384333448050364E-4</v>
      </c>
      <c r="G56" s="1"/>
      <c r="H56" s="1">
        <f>SUM(OSRRefH22_6x_0)</f>
        <v>20</v>
      </c>
      <c r="I56" s="1"/>
      <c r="J56" s="5">
        <f t="shared" ref="J56:J64" si="37">IF(H$12=0,0,H56/H$12)</f>
        <v>4.5719510801234427E-4</v>
      </c>
      <c r="K56" s="1"/>
      <c r="L56" s="1">
        <f t="shared" ref="L56:L64" si="38">+D56-H56</f>
        <v>53.22</v>
      </c>
      <c r="M56" s="1"/>
      <c r="N56" s="5">
        <f t="shared" ref="N56:N64" si="39">IF(H56=0,0,L56/H56)</f>
        <v>2.661</v>
      </c>
      <c r="O56" s="14"/>
      <c r="P56" s="1">
        <f>SUM(OSRRefP22_6x_0)</f>
        <v>73.22</v>
      </c>
      <c r="Q56" s="1"/>
      <c r="R56" s="5">
        <f t="shared" ref="R56:R64" si="40">IF(P$12=0,0,P56/P$12)</f>
        <v>4.3319235550976068E-4</v>
      </c>
      <c r="S56" s="1"/>
      <c r="T56" s="1">
        <f>SUM(OSRRefT22_6x_0)</f>
        <v>40</v>
      </c>
      <c r="U56" s="1"/>
      <c r="V56" s="5">
        <f t="shared" ref="V56:V64" si="41">IF(T$12=0,0,T56/T$12)</f>
        <v>4.8134198144426661E-4</v>
      </c>
      <c r="W56" s="1"/>
      <c r="X56" s="1">
        <f t="shared" ref="X56:X64" si="42">+P56-T56</f>
        <v>33.22</v>
      </c>
      <c r="Y56" s="1"/>
      <c r="Z56" s="5">
        <f t="shared" ref="Z56:Z64" si="43">IF(T56=0,0,X56/T56)</f>
        <v>0.83050000000000002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7">
        <v>73.22</v>
      </c>
      <c r="E57" s="2"/>
      <c r="F57" s="6">
        <f t="shared" si="36"/>
        <v>8.3384333448050364E-4</v>
      </c>
      <c r="G57" s="2"/>
      <c r="H57" s="7">
        <v>20</v>
      </c>
      <c r="I57" s="2"/>
      <c r="J57" s="6">
        <f t="shared" si="37"/>
        <v>4.5719510801234427E-4</v>
      </c>
      <c r="K57" s="2"/>
      <c r="L57" s="7">
        <f t="shared" si="38"/>
        <v>53.22</v>
      </c>
      <c r="M57" s="2"/>
      <c r="N57" s="6">
        <f t="shared" si="39"/>
        <v>2.661</v>
      </c>
      <c r="O57" s="11"/>
      <c r="P57" s="7">
        <v>73.22</v>
      </c>
      <c r="Q57" s="2"/>
      <c r="R57" s="6">
        <f t="shared" si="40"/>
        <v>4.3319235550976068E-4</v>
      </c>
      <c r="S57" s="2"/>
      <c r="T57" s="7">
        <v>40</v>
      </c>
      <c r="U57" s="2"/>
      <c r="V57" s="6">
        <f t="shared" si="41"/>
        <v>4.8134198144426661E-4</v>
      </c>
      <c r="W57" s="2"/>
      <c r="X57" s="7">
        <f t="shared" si="42"/>
        <v>33.22</v>
      </c>
      <c r="Y57" s="2"/>
      <c r="Z57" s="6">
        <f t="shared" si="43"/>
        <v>0.83050000000000002</v>
      </c>
    </row>
    <row r="58" spans="1:26" s="28" customFormat="1" outlineLevel="1" collapsed="1" x14ac:dyDescent="0.25">
      <c r="A58" s="29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4"/>
      <c r="P58" s="1">
        <f>SUM(OSRRefP22_7x_0)</f>
        <v>1887.3</v>
      </c>
      <c r="Q58" s="1"/>
      <c r="R58" s="5">
        <f t="shared" si="40"/>
        <v>1.1165855402261286E-2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1887.3</v>
      </c>
      <c r="Y58" s="1"/>
      <c r="Z58" s="5">
        <f t="shared" si="43"/>
        <v>0</v>
      </c>
    </row>
    <row r="59" spans="1:26" s="24" customFormat="1" hidden="1" outlineLevel="2" x14ac:dyDescent="0.25">
      <c r="A59" s="27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1887.3</v>
      </c>
      <c r="Q59" s="2"/>
      <c r="R59" s="6">
        <f t="shared" si="40"/>
        <v>1.1165855402261286E-2</v>
      </c>
      <c r="S59" s="2"/>
      <c r="T59" s="7"/>
      <c r="U59" s="2"/>
      <c r="V59" s="6">
        <f t="shared" si="41"/>
        <v>0</v>
      </c>
      <c r="W59" s="2"/>
      <c r="X59" s="7">
        <f t="shared" si="42"/>
        <v>1887.3</v>
      </c>
      <c r="Y59" s="2"/>
      <c r="Z59" s="6">
        <f t="shared" si="43"/>
        <v>0</v>
      </c>
    </row>
    <row r="60" spans="1:26" s="28" customFormat="1" outlineLevel="1" collapsed="1" x14ac:dyDescent="0.25">
      <c r="A60" s="29"/>
      <c r="B60" s="14" t="str">
        <f>CONCATENATE("     ","Rent                                              ")</f>
        <v xml:space="preserve">     Rent                                              </v>
      </c>
      <c r="C60" s="14"/>
      <c r="D60" s="1">
        <f>SUM(OSRRefD22_8x_0)</f>
        <v>1850</v>
      </c>
      <c r="E60" s="1"/>
      <c r="F60" s="5">
        <f t="shared" si="36"/>
        <v>2.1068153083705705E-2</v>
      </c>
      <c r="G60" s="1"/>
      <c r="H60" s="1">
        <f>SUM(OSRRefH22_8x_0)</f>
        <v>1850</v>
      </c>
      <c r="I60" s="1"/>
      <c r="J60" s="5">
        <f t="shared" si="37"/>
        <v>4.2290547491141847E-2</v>
      </c>
      <c r="K60" s="1"/>
      <c r="L60" s="1">
        <f t="shared" si="38"/>
        <v>0</v>
      </c>
      <c r="M60" s="1"/>
      <c r="N60" s="5">
        <f t="shared" si="39"/>
        <v>0</v>
      </c>
      <c r="O60" s="14"/>
      <c r="P60" s="1">
        <f>SUM(OSRRefP22_8x_0)</f>
        <v>7400</v>
      </c>
      <c r="Q60" s="1"/>
      <c r="R60" s="5">
        <f t="shared" si="40"/>
        <v>4.3780707877249782E-2</v>
      </c>
      <c r="S60" s="1"/>
      <c r="T60" s="1">
        <f>SUM(OSRRefT22_8x_0)</f>
        <v>7400</v>
      </c>
      <c r="U60" s="1"/>
      <c r="V60" s="5">
        <f t="shared" si="41"/>
        <v>8.9048266567189324E-2</v>
      </c>
      <c r="W60" s="1"/>
      <c r="X60" s="1">
        <f t="shared" si="42"/>
        <v>0</v>
      </c>
      <c r="Y60" s="1"/>
      <c r="Z60" s="5">
        <f t="shared" si="43"/>
        <v>0</v>
      </c>
    </row>
    <row r="61" spans="1:26" s="24" customFormat="1" hidden="1" outlineLevel="2" x14ac:dyDescent="0.25">
      <c r="A61" s="27"/>
      <c r="B61" s="11" t="str">
        <f>CONCATENATE("          ", "6273", " - ", "RENT")</f>
        <v xml:space="preserve">          6273 - RENT</v>
      </c>
      <c r="C61" s="11"/>
      <c r="D61" s="7">
        <v>1850</v>
      </c>
      <c r="E61" s="2"/>
      <c r="F61" s="6">
        <f t="shared" si="36"/>
        <v>2.1068153083705705E-2</v>
      </c>
      <c r="G61" s="2"/>
      <c r="H61" s="7">
        <v>1850</v>
      </c>
      <c r="I61" s="2"/>
      <c r="J61" s="6">
        <f t="shared" si="37"/>
        <v>4.2290547491141847E-2</v>
      </c>
      <c r="K61" s="2"/>
      <c r="L61" s="7">
        <f t="shared" si="38"/>
        <v>0</v>
      </c>
      <c r="M61" s="2"/>
      <c r="N61" s="6">
        <f t="shared" si="39"/>
        <v>0</v>
      </c>
      <c r="O61" s="11"/>
      <c r="P61" s="7">
        <v>7400</v>
      </c>
      <c r="Q61" s="2"/>
      <c r="R61" s="6">
        <f t="shared" si="40"/>
        <v>4.3780707877249782E-2</v>
      </c>
      <c r="S61" s="2"/>
      <c r="T61" s="7">
        <v>7400</v>
      </c>
      <c r="U61" s="2"/>
      <c r="V61" s="6">
        <f t="shared" si="41"/>
        <v>8.9048266567189324E-2</v>
      </c>
      <c r="W61" s="2"/>
      <c r="X61" s="7">
        <f t="shared" si="42"/>
        <v>0</v>
      </c>
      <c r="Y61" s="2"/>
      <c r="Z61" s="6">
        <f t="shared" si="43"/>
        <v>0</v>
      </c>
    </row>
    <row r="62" spans="1:26" s="28" customFormat="1" outlineLevel="1" collapsed="1" x14ac:dyDescent="0.25">
      <c r="A62" s="29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SUM(OSRRefD22_9x_0)</f>
        <v>37</v>
      </c>
      <c r="E62" s="1"/>
      <c r="F62" s="5">
        <f t="shared" si="36"/>
        <v>4.2136306167411412E-4</v>
      </c>
      <c r="G62" s="1"/>
      <c r="H62" s="1">
        <f>SUM(OSRRefH22_9x_0)</f>
        <v>650</v>
      </c>
      <c r="I62" s="1"/>
      <c r="J62" s="5">
        <f t="shared" si="37"/>
        <v>1.4858841010401188E-2</v>
      </c>
      <c r="K62" s="1"/>
      <c r="L62" s="1">
        <f t="shared" si="38"/>
        <v>-613</v>
      </c>
      <c r="M62" s="1"/>
      <c r="N62" s="5">
        <f t="shared" si="39"/>
        <v>-0.94307692307692303</v>
      </c>
      <c r="O62" s="14"/>
      <c r="P62" s="1">
        <f>SUM(OSRRefP22_9x_0)</f>
        <v>1904.8899999999999</v>
      </c>
      <c r="Q62" s="1"/>
      <c r="R62" s="5">
        <f t="shared" si="40"/>
        <v>1.1269923328147882E-2</v>
      </c>
      <c r="S62" s="1"/>
      <c r="T62" s="1">
        <f>SUM(OSRRefT22_9x_0)</f>
        <v>2300</v>
      </c>
      <c r="U62" s="1"/>
      <c r="V62" s="5">
        <f t="shared" si="41"/>
        <v>2.767716393304533E-2</v>
      </c>
      <c r="W62" s="1"/>
      <c r="X62" s="1">
        <f t="shared" si="42"/>
        <v>-395.11000000000013</v>
      </c>
      <c r="Y62" s="1"/>
      <c r="Z62" s="5">
        <f t="shared" si="43"/>
        <v>-0.1717869565217392</v>
      </c>
    </row>
    <row r="63" spans="1:26" s="24" customFormat="1" hidden="1" outlineLevel="2" x14ac:dyDescent="0.25">
      <c r="A63" s="27"/>
      <c r="B63" s="11" t="str">
        <f>CONCATENATE("          ", "6373", " - ", "MAINTENANCE CONTRACTS")</f>
        <v xml:space="preserve">          6373 - MAINTENANCE CONTRACTS</v>
      </c>
      <c r="C63" s="11"/>
      <c r="D63" s="7"/>
      <c r="E63" s="2"/>
      <c r="F63" s="6">
        <f t="shared" si="36"/>
        <v>0</v>
      </c>
      <c r="G63" s="2"/>
      <c r="H63" s="7">
        <v>150</v>
      </c>
      <c r="I63" s="2"/>
      <c r="J63" s="6">
        <f t="shared" si="37"/>
        <v>3.428963310092582E-3</v>
      </c>
      <c r="K63" s="2"/>
      <c r="L63" s="7">
        <f t="shared" si="38"/>
        <v>-150</v>
      </c>
      <c r="M63" s="2"/>
      <c r="N63" s="6">
        <f t="shared" si="39"/>
        <v>-1</v>
      </c>
      <c r="O63" s="11"/>
      <c r="P63" s="7">
        <v>71.86</v>
      </c>
      <c r="Q63" s="2"/>
      <c r="R63" s="6">
        <f t="shared" si="40"/>
        <v>4.2514617135934717E-4</v>
      </c>
      <c r="S63" s="2"/>
      <c r="T63" s="7">
        <v>300</v>
      </c>
      <c r="U63" s="2"/>
      <c r="V63" s="6">
        <f t="shared" si="41"/>
        <v>3.6100648608319995E-3</v>
      </c>
      <c r="W63" s="2"/>
      <c r="X63" s="7">
        <f t="shared" si="42"/>
        <v>-228.14</v>
      </c>
      <c r="Y63" s="2"/>
      <c r="Z63" s="6">
        <f t="shared" si="43"/>
        <v>-0.76046666666666662</v>
      </c>
    </row>
    <row r="64" spans="1:26" s="24" customFormat="1" hidden="1" outlineLevel="2" x14ac:dyDescent="0.25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7">
        <v>37</v>
      </c>
      <c r="E64" s="2"/>
      <c r="F64" s="6">
        <f t="shared" si="36"/>
        <v>4.2136306167411412E-4</v>
      </c>
      <c r="G64" s="2"/>
      <c r="H64" s="7">
        <v>500</v>
      </c>
      <c r="I64" s="2"/>
      <c r="J64" s="6">
        <f t="shared" si="37"/>
        <v>1.1429877700308606E-2</v>
      </c>
      <c r="K64" s="2"/>
      <c r="L64" s="7">
        <f t="shared" si="38"/>
        <v>-463</v>
      </c>
      <c r="M64" s="2"/>
      <c r="N64" s="6">
        <f t="shared" si="39"/>
        <v>-0.92600000000000005</v>
      </c>
      <c r="O64" s="11"/>
      <c r="P64" s="7">
        <v>1833.03</v>
      </c>
      <c r="Q64" s="2"/>
      <c r="R64" s="6">
        <f t="shared" si="40"/>
        <v>1.0844777156788535E-2</v>
      </c>
      <c r="S64" s="2"/>
      <c r="T64" s="7">
        <v>2000</v>
      </c>
      <c r="U64" s="2"/>
      <c r="V64" s="6">
        <f t="shared" si="41"/>
        <v>2.4067099072213331E-2</v>
      </c>
      <c r="W64" s="2"/>
      <c r="X64" s="7">
        <f t="shared" si="42"/>
        <v>-166.97000000000003</v>
      </c>
      <c r="Y64" s="2"/>
      <c r="Z64" s="6">
        <f t="shared" si="43"/>
        <v>-8.3485000000000018E-2</v>
      </c>
    </row>
    <row r="65" spans="1:26" s="28" customFormat="1" outlineLevel="1" collapsed="1" x14ac:dyDescent="0.25">
      <c r="A65" s="29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SUM(OSRRefD22_10x_0)</f>
        <v>245.44</v>
      </c>
      <c r="E65" s="1"/>
      <c r="F65" s="5">
        <f t="shared" ref="F65:F69" si="44">IF(D$12=0,0,D65/D$12)</f>
        <v>2.7951175637106638E-3</v>
      </c>
      <c r="G65" s="1"/>
      <c r="H65" s="1">
        <f>SUM(OSRRefH22_10x_0)</f>
        <v>2283</v>
      </c>
      <c r="I65" s="1"/>
      <c r="J65" s="5">
        <f t="shared" ref="J65:J69" si="45">IF(H$12=0,0,H65/H$12)</f>
        <v>5.21888215796091E-2</v>
      </c>
      <c r="K65" s="1"/>
      <c r="L65" s="1">
        <f t="shared" ref="L65:L69" si="46">+D65-H65</f>
        <v>-2037.56</v>
      </c>
      <c r="M65" s="1"/>
      <c r="N65" s="5">
        <f t="shared" ref="N65:N69" si="47">IF(H65=0,0,L65/H65)</f>
        <v>-0.89249233464739375</v>
      </c>
      <c r="O65" s="14"/>
      <c r="P65" s="1">
        <f>SUM(OSRRefP22_10x_0)</f>
        <v>3979.3</v>
      </c>
      <c r="Q65" s="1"/>
      <c r="R65" s="5">
        <f t="shared" ref="R65:R69" si="48">IF(P$12=0,0,P65/P$12)</f>
        <v>2.3542779845397304E-2</v>
      </c>
      <c r="S65" s="1"/>
      <c r="T65" s="1">
        <f>SUM(OSRRefT22_10x_0)</f>
        <v>6889</v>
      </c>
      <c r="U65" s="1"/>
      <c r="V65" s="5">
        <f t="shared" ref="V65:V69" si="49">IF(T$12=0,0,T65/T$12)</f>
        <v>8.2899122754238816E-2</v>
      </c>
      <c r="W65" s="1"/>
      <c r="X65" s="1">
        <f t="shared" ref="X65:X69" si="50">+P65-T65</f>
        <v>-2909.7</v>
      </c>
      <c r="Y65" s="1"/>
      <c r="Z65" s="5">
        <f t="shared" ref="Z65:Z69" si="51">IF(T65=0,0,X65/T65)</f>
        <v>-0.42236899404848305</v>
      </c>
    </row>
    <row r="66" spans="1:26" s="24" customFormat="1" hidden="1" outlineLevel="2" x14ac:dyDescent="0.25">
      <c r="A66" s="27"/>
      <c r="B66" s="11" t="str">
        <f>CONCATENATE("          ", "6282", " - ", "JANITORIAL/EXTERMINATOR EXPENS")</f>
        <v xml:space="preserve">          6282 - JANITORIAL/EXTERMINATOR EXPENS</v>
      </c>
      <c r="C66" s="11"/>
      <c r="D66" s="7">
        <v>63.86</v>
      </c>
      <c r="E66" s="2"/>
      <c r="F66" s="6">
        <f t="shared" si="44"/>
        <v>7.2724986806780884E-4</v>
      </c>
      <c r="G66" s="2"/>
      <c r="H66" s="7">
        <v>150</v>
      </c>
      <c r="I66" s="2"/>
      <c r="J66" s="6">
        <f t="shared" si="45"/>
        <v>3.428963310092582E-3</v>
      </c>
      <c r="K66" s="2"/>
      <c r="L66" s="7">
        <f t="shared" si="46"/>
        <v>-86.14</v>
      </c>
      <c r="M66" s="2"/>
      <c r="N66" s="6">
        <f t="shared" si="47"/>
        <v>-0.5742666666666667</v>
      </c>
      <c r="O66" s="11"/>
      <c r="P66" s="7">
        <v>63.86</v>
      </c>
      <c r="Q66" s="2"/>
      <c r="R66" s="6">
        <f t="shared" si="48"/>
        <v>3.7781567635691501E-4</v>
      </c>
      <c r="S66" s="2"/>
      <c r="T66" s="7">
        <v>500</v>
      </c>
      <c r="U66" s="2"/>
      <c r="V66" s="6">
        <f t="shared" si="49"/>
        <v>6.0167747680533326E-3</v>
      </c>
      <c r="W66" s="2"/>
      <c r="X66" s="7">
        <f t="shared" si="50"/>
        <v>-436.14</v>
      </c>
      <c r="Y66" s="2"/>
      <c r="Z66" s="6">
        <f t="shared" si="51"/>
        <v>-0.87227999999999994</v>
      </c>
    </row>
    <row r="67" spans="1:26" s="24" customFormat="1" hidden="1" outlineLevel="2" x14ac:dyDescent="0.25">
      <c r="A67" s="27"/>
      <c r="B67" s="11" t="str">
        <f>CONCATENATE("          ", "6284", " - ", "TRASH REMOVAL EXPENSE")</f>
        <v xml:space="preserve">          6284 - TRASH REMOVAL EXPENSE</v>
      </c>
      <c r="C67" s="11"/>
      <c r="D67" s="7"/>
      <c r="E67" s="2"/>
      <c r="F67" s="6">
        <f t="shared" si="44"/>
        <v>0</v>
      </c>
      <c r="G67" s="2"/>
      <c r="H67" s="7"/>
      <c r="I67" s="2"/>
      <c r="J67" s="6">
        <f t="shared" si="45"/>
        <v>0</v>
      </c>
      <c r="K67" s="2"/>
      <c r="L67" s="7">
        <f t="shared" si="46"/>
        <v>0</v>
      </c>
      <c r="M67" s="2"/>
      <c r="N67" s="6">
        <f t="shared" si="47"/>
        <v>0</v>
      </c>
      <c r="O67" s="11"/>
      <c r="P67" s="7"/>
      <c r="Q67" s="2"/>
      <c r="R67" s="6">
        <f t="shared" si="48"/>
        <v>0</v>
      </c>
      <c r="S67" s="2"/>
      <c r="T67" s="7">
        <v>0</v>
      </c>
      <c r="U67" s="2"/>
      <c r="V67" s="6">
        <f t="shared" si="49"/>
        <v>0</v>
      </c>
      <c r="W67" s="2"/>
      <c r="X67" s="7">
        <f t="shared" si="50"/>
        <v>0</v>
      </c>
      <c r="Y67" s="2"/>
      <c r="Z67" s="6">
        <f t="shared" si="51"/>
        <v>0</v>
      </c>
    </row>
    <row r="68" spans="1:26" s="24" customFormat="1" hidden="1" outlineLevel="2" x14ac:dyDescent="0.25">
      <c r="A68" s="27"/>
      <c r="B68" s="11" t="str">
        <f>CONCATENATE("          ", "6285", " - ", "JANITORIAL SERVICES")</f>
        <v xml:space="preserve">          6285 - JANITORIAL SERVICES</v>
      </c>
      <c r="C68" s="11"/>
      <c r="D68" s="7"/>
      <c r="E68" s="2"/>
      <c r="F68" s="6">
        <f t="shared" si="44"/>
        <v>0</v>
      </c>
      <c r="G68" s="2"/>
      <c r="H68" s="7">
        <v>2083</v>
      </c>
      <c r="I68" s="2"/>
      <c r="J68" s="6">
        <f t="shared" si="45"/>
        <v>4.7616870499485653E-2</v>
      </c>
      <c r="K68" s="2"/>
      <c r="L68" s="7">
        <f t="shared" si="46"/>
        <v>-2083</v>
      </c>
      <c r="M68" s="2"/>
      <c r="N68" s="6">
        <f t="shared" si="47"/>
        <v>-1</v>
      </c>
      <c r="O68" s="11"/>
      <c r="P68" s="7">
        <v>3660</v>
      </c>
      <c r="Q68" s="2"/>
      <c r="R68" s="6">
        <f t="shared" si="48"/>
        <v>2.1653701463612729E-2</v>
      </c>
      <c r="S68" s="2"/>
      <c r="T68" s="7">
        <v>6249</v>
      </c>
      <c r="U68" s="2"/>
      <c r="V68" s="6">
        <f t="shared" si="49"/>
        <v>7.5197651051130548E-2</v>
      </c>
      <c r="W68" s="2"/>
      <c r="X68" s="7">
        <f t="shared" si="50"/>
        <v>-2589</v>
      </c>
      <c r="Y68" s="2"/>
      <c r="Z68" s="6">
        <f t="shared" si="51"/>
        <v>-0.414306289006241</v>
      </c>
    </row>
    <row r="69" spans="1:26" s="24" customFormat="1" hidden="1" outlineLevel="2" x14ac:dyDescent="0.25">
      <c r="A69" s="27"/>
      <c r="B69" s="11" t="str">
        <f>CONCATENATE("          ", "6286", " - ", "LAUNDRY EXPENSE")</f>
        <v xml:space="preserve">          6286 - LAUNDRY EXPENSE</v>
      </c>
      <c r="C69" s="11"/>
      <c r="D69" s="7">
        <v>181.58</v>
      </c>
      <c r="E69" s="2"/>
      <c r="F69" s="6">
        <f t="shared" si="44"/>
        <v>2.0678676956428555E-3</v>
      </c>
      <c r="G69" s="2"/>
      <c r="H69" s="7">
        <v>50</v>
      </c>
      <c r="I69" s="2"/>
      <c r="J69" s="6">
        <f t="shared" si="45"/>
        <v>1.1429877700308607E-3</v>
      </c>
      <c r="K69" s="2"/>
      <c r="L69" s="7">
        <f t="shared" si="46"/>
        <v>131.58000000000001</v>
      </c>
      <c r="M69" s="2"/>
      <c r="N69" s="6">
        <f t="shared" si="47"/>
        <v>2.6316000000000002</v>
      </c>
      <c r="O69" s="11"/>
      <c r="P69" s="7">
        <v>255.44</v>
      </c>
      <c r="Q69" s="2"/>
      <c r="R69" s="6">
        <f t="shared" si="48"/>
        <v>1.5112627054276601E-3</v>
      </c>
      <c r="S69" s="2"/>
      <c r="T69" s="7">
        <v>140</v>
      </c>
      <c r="U69" s="2"/>
      <c r="V69" s="6">
        <f t="shared" si="49"/>
        <v>1.6846969350549331E-3</v>
      </c>
      <c r="W69" s="2"/>
      <c r="X69" s="7">
        <f t="shared" si="50"/>
        <v>115.44</v>
      </c>
      <c r="Y69" s="2"/>
      <c r="Z69" s="6">
        <f t="shared" si="51"/>
        <v>0.82457142857142851</v>
      </c>
    </row>
    <row r="70" spans="1:26" s="28" customFormat="1" outlineLevel="1" collapsed="1" x14ac:dyDescent="0.25">
      <c r="A70" s="29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SUM(OSRRefD22_11x_0)</f>
        <v>173.04</v>
      </c>
      <c r="E70" s="1"/>
      <c r="F70" s="5">
        <f t="shared" ref="F70:F80" si="52">IF(D$12=0,0,D70/D$12)</f>
        <v>1.9706125457321271E-3</v>
      </c>
      <c r="G70" s="1"/>
      <c r="H70" s="1">
        <f>SUM(OSRRefH22_11x_0)</f>
        <v>30</v>
      </c>
      <c r="I70" s="1"/>
      <c r="J70" s="5">
        <f t="shared" ref="J70:J80" si="53">IF(H$12=0,0,H70/H$12)</f>
        <v>6.8579266201851635E-4</v>
      </c>
      <c r="K70" s="1"/>
      <c r="L70" s="1">
        <f t="shared" ref="L70:L80" si="54">+D70-H70</f>
        <v>143.04</v>
      </c>
      <c r="M70" s="1"/>
      <c r="N70" s="5">
        <f t="shared" ref="N70:N80" si="55">IF(H70=0,0,L70/H70)</f>
        <v>4.7679999999999998</v>
      </c>
      <c r="O70" s="14"/>
      <c r="P70" s="1">
        <f>SUM(OSRRefP22_11x_0)</f>
        <v>173.04</v>
      </c>
      <c r="Q70" s="1"/>
      <c r="R70" s="5">
        <f t="shared" ref="R70:R80" si="56">IF(P$12=0,0,P70/P$12)</f>
        <v>1.0237586069026083E-3</v>
      </c>
      <c r="S70" s="1"/>
      <c r="T70" s="1">
        <f>SUM(OSRRefT22_11x_0)</f>
        <v>90</v>
      </c>
      <c r="U70" s="1"/>
      <c r="V70" s="5">
        <f t="shared" ref="V70:V80" si="57">IF(T$12=0,0,T70/T$12)</f>
        <v>1.0830194582495999E-3</v>
      </c>
      <c r="W70" s="1"/>
      <c r="X70" s="1">
        <f t="shared" ref="X70:X80" si="58">+P70-T70</f>
        <v>83.039999999999992</v>
      </c>
      <c r="Y70" s="1"/>
      <c r="Z70" s="5">
        <f t="shared" ref="Z70:Z80" si="59">IF(T70=0,0,X70/T70)</f>
        <v>0.92266666666666652</v>
      </c>
    </row>
    <row r="71" spans="1:26" s="24" customFormat="1" hidden="1" outlineLevel="2" x14ac:dyDescent="0.25">
      <c r="A71" s="27"/>
      <c r="B71" s="11" t="str">
        <f>CONCATENATE("          ", "6275", " - ", "SUBSCRIPTIONS")</f>
        <v xml:space="preserve">          6275 - SUBSCRIPTIONS</v>
      </c>
      <c r="C71" s="11"/>
      <c r="D71" s="7">
        <v>173.04</v>
      </c>
      <c r="E71" s="2"/>
      <c r="F71" s="6">
        <f t="shared" si="52"/>
        <v>1.9706125457321271E-3</v>
      </c>
      <c r="G71" s="2"/>
      <c r="H71" s="7">
        <v>30</v>
      </c>
      <c r="I71" s="2"/>
      <c r="J71" s="6">
        <f t="shared" si="53"/>
        <v>6.8579266201851635E-4</v>
      </c>
      <c r="K71" s="2"/>
      <c r="L71" s="7">
        <f t="shared" si="54"/>
        <v>143.04</v>
      </c>
      <c r="M71" s="2"/>
      <c r="N71" s="6">
        <f t="shared" si="55"/>
        <v>4.7679999999999998</v>
      </c>
      <c r="O71" s="11"/>
      <c r="P71" s="7">
        <v>173.04</v>
      </c>
      <c r="Q71" s="2"/>
      <c r="R71" s="6">
        <f t="shared" si="56"/>
        <v>1.0237586069026083E-3</v>
      </c>
      <c r="S71" s="2"/>
      <c r="T71" s="7">
        <v>90</v>
      </c>
      <c r="U71" s="2"/>
      <c r="V71" s="6">
        <f t="shared" si="57"/>
        <v>1.0830194582495999E-3</v>
      </c>
      <c r="W71" s="2"/>
      <c r="X71" s="7">
        <f t="shared" si="58"/>
        <v>83.039999999999992</v>
      </c>
      <c r="Y71" s="2"/>
      <c r="Z71" s="6">
        <f t="shared" si="59"/>
        <v>0.92266666666666652</v>
      </c>
    </row>
    <row r="72" spans="1:26" s="28" customFormat="1" outlineLevel="1" collapsed="1" x14ac:dyDescent="0.25">
      <c r="A72" s="29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SUM(OSRRefD22_12x_0)</f>
        <v>2741.66</v>
      </c>
      <c r="E72" s="1"/>
      <c r="F72" s="5">
        <f t="shared" si="52"/>
        <v>3.1222547342417611E-2</v>
      </c>
      <c r="G72" s="1"/>
      <c r="H72" s="1">
        <f>SUM(OSRRefH22_12x_0)</f>
        <v>625</v>
      </c>
      <c r="I72" s="1"/>
      <c r="J72" s="5">
        <f t="shared" si="53"/>
        <v>1.4287347125385758E-2</v>
      </c>
      <c r="K72" s="1"/>
      <c r="L72" s="1">
        <f t="shared" si="54"/>
        <v>2116.66</v>
      </c>
      <c r="M72" s="1"/>
      <c r="N72" s="5">
        <f t="shared" si="55"/>
        <v>3.3866559999999999</v>
      </c>
      <c r="O72" s="14"/>
      <c r="P72" s="1">
        <f>SUM(OSRRefP22_12x_0)</f>
        <v>4381.3799999999992</v>
      </c>
      <c r="Q72" s="1"/>
      <c r="R72" s="5">
        <f t="shared" si="56"/>
        <v>2.592161052421954E-2</v>
      </c>
      <c r="S72" s="1"/>
      <c r="T72" s="1">
        <f>SUM(OSRRefT22_12x_0)</f>
        <v>3375</v>
      </c>
      <c r="U72" s="1"/>
      <c r="V72" s="5">
        <f t="shared" si="57"/>
        <v>4.0613229684359993E-2</v>
      </c>
      <c r="W72" s="1"/>
      <c r="X72" s="1">
        <f t="shared" si="58"/>
        <v>1006.3799999999992</v>
      </c>
      <c r="Y72" s="1"/>
      <c r="Z72" s="5">
        <f t="shared" si="59"/>
        <v>0.29818666666666643</v>
      </c>
    </row>
    <row r="73" spans="1:26" s="24" customFormat="1" hidden="1" outlineLevel="2" x14ac:dyDescent="0.25">
      <c r="A73" s="27"/>
      <c r="B73" s="11" t="str">
        <f>CONCATENATE("          ", "6235", " - ", "COVID-19 EXPENSES")</f>
        <v xml:space="preserve">          6235 - COVID-19 EXPENSES</v>
      </c>
      <c r="C73" s="11"/>
      <c r="D73" s="7"/>
      <c r="E73" s="2"/>
      <c r="F73" s="6">
        <f t="shared" si="52"/>
        <v>0</v>
      </c>
      <c r="G73" s="2"/>
      <c r="H73" s="7">
        <v>75</v>
      </c>
      <c r="I73" s="2"/>
      <c r="J73" s="6">
        <f t="shared" si="53"/>
        <v>1.714481655046291E-3</v>
      </c>
      <c r="K73" s="2"/>
      <c r="L73" s="7">
        <f t="shared" si="54"/>
        <v>-75</v>
      </c>
      <c r="M73" s="2"/>
      <c r="N73" s="6">
        <f t="shared" si="55"/>
        <v>-1</v>
      </c>
      <c r="O73" s="11"/>
      <c r="P73" s="7">
        <v>193.5</v>
      </c>
      <c r="Q73" s="2"/>
      <c r="R73" s="6">
        <f t="shared" si="56"/>
        <v>1.1448063478713287E-3</v>
      </c>
      <c r="S73" s="2"/>
      <c r="T73" s="7">
        <v>475</v>
      </c>
      <c r="U73" s="2"/>
      <c r="V73" s="6">
        <f t="shared" si="57"/>
        <v>5.7159360296506661E-3</v>
      </c>
      <c r="W73" s="2"/>
      <c r="X73" s="7">
        <f t="shared" si="58"/>
        <v>-281.5</v>
      </c>
      <c r="Y73" s="2"/>
      <c r="Z73" s="6">
        <f t="shared" si="59"/>
        <v>-0.5926315789473684</v>
      </c>
    </row>
    <row r="74" spans="1:26" s="24" customFormat="1" hidden="1" outlineLevel="2" x14ac:dyDescent="0.25">
      <c r="A74" s="27"/>
      <c r="B74" s="11" t="str">
        <f>CONCATENATE("          ", "6237", " - ", "JANITORIAL SUPPLIES")</f>
        <v xml:space="preserve">          6237 - JANITORIAL SUPPLIES</v>
      </c>
      <c r="C74" s="11"/>
      <c r="D74" s="7"/>
      <c r="E74" s="2"/>
      <c r="F74" s="6">
        <f t="shared" si="52"/>
        <v>0</v>
      </c>
      <c r="G74" s="2"/>
      <c r="H74" s="7">
        <v>150</v>
      </c>
      <c r="I74" s="2"/>
      <c r="J74" s="6">
        <f t="shared" si="53"/>
        <v>3.428963310092582E-3</v>
      </c>
      <c r="K74" s="2"/>
      <c r="L74" s="7">
        <f t="shared" si="54"/>
        <v>-150</v>
      </c>
      <c r="M74" s="2"/>
      <c r="N74" s="6">
        <f t="shared" si="55"/>
        <v>-1</v>
      </c>
      <c r="O74" s="11"/>
      <c r="P74" s="7">
        <v>48.12</v>
      </c>
      <c r="Q74" s="2"/>
      <c r="R74" s="6">
        <f t="shared" si="56"/>
        <v>2.8469292743962962E-4</v>
      </c>
      <c r="S74" s="2"/>
      <c r="T74" s="7">
        <v>400</v>
      </c>
      <c r="U74" s="2"/>
      <c r="V74" s="6">
        <f t="shared" si="57"/>
        <v>4.8134198144426663E-3</v>
      </c>
      <c r="W74" s="2"/>
      <c r="X74" s="7">
        <f t="shared" si="58"/>
        <v>-351.88</v>
      </c>
      <c r="Y74" s="2"/>
      <c r="Z74" s="6">
        <f t="shared" si="59"/>
        <v>-0.87970000000000004</v>
      </c>
    </row>
    <row r="75" spans="1:26" s="24" customFormat="1" hidden="1" outlineLevel="2" x14ac:dyDescent="0.25">
      <c r="A75" s="27"/>
      <c r="B75" s="11" t="str">
        <f>CONCATENATE("          ", "6239", " - ", "KITCHEN SUPPLIES")</f>
        <v xml:space="preserve">          6239 - KITCHEN SUPPLIES</v>
      </c>
      <c r="C75" s="11"/>
      <c r="D75" s="7">
        <v>685.8</v>
      </c>
      <c r="E75" s="2"/>
      <c r="F75" s="6">
        <f t="shared" si="52"/>
        <v>7.8100212890839854E-3</v>
      </c>
      <c r="G75" s="2"/>
      <c r="H75" s="7"/>
      <c r="I75" s="2"/>
      <c r="J75" s="6">
        <f t="shared" si="53"/>
        <v>0</v>
      </c>
      <c r="K75" s="2"/>
      <c r="L75" s="7">
        <f t="shared" si="54"/>
        <v>685.8</v>
      </c>
      <c r="M75" s="2"/>
      <c r="N75" s="6">
        <f t="shared" si="55"/>
        <v>0</v>
      </c>
      <c r="O75" s="11"/>
      <c r="P75" s="7">
        <v>769.16</v>
      </c>
      <c r="Q75" s="2"/>
      <c r="R75" s="6">
        <f t="shared" si="56"/>
        <v>4.5505904420088429E-3</v>
      </c>
      <c r="S75" s="2"/>
      <c r="T75" s="7">
        <v>100</v>
      </c>
      <c r="U75" s="2"/>
      <c r="V75" s="6">
        <f t="shared" si="57"/>
        <v>1.2033549536106666E-3</v>
      </c>
      <c r="W75" s="2"/>
      <c r="X75" s="7">
        <f t="shared" si="58"/>
        <v>669.16</v>
      </c>
      <c r="Y75" s="2"/>
      <c r="Z75" s="6">
        <f t="shared" si="59"/>
        <v>6.6915999999999993</v>
      </c>
    </row>
    <row r="76" spans="1:26" s="24" customFormat="1" hidden="1" outlineLevel="2" x14ac:dyDescent="0.25">
      <c r="A76" s="27"/>
      <c r="B76" s="11" t="str">
        <f>CONCATENATE("          ", "6241", " - ", "OFFICE EXPENSE")</f>
        <v xml:space="preserve">          6241 - OFFICE EXPENSE</v>
      </c>
      <c r="C76" s="11"/>
      <c r="D76" s="7">
        <v>781.88</v>
      </c>
      <c r="E76" s="2"/>
      <c r="F76" s="6">
        <f t="shared" si="52"/>
        <v>8.9041986665339551E-3</v>
      </c>
      <c r="G76" s="2"/>
      <c r="H76" s="7">
        <v>50</v>
      </c>
      <c r="I76" s="2"/>
      <c r="J76" s="6">
        <f t="shared" si="53"/>
        <v>1.1429877700308607E-3</v>
      </c>
      <c r="K76" s="2"/>
      <c r="L76" s="7">
        <f t="shared" si="54"/>
        <v>731.88</v>
      </c>
      <c r="M76" s="2"/>
      <c r="N76" s="6">
        <f t="shared" si="55"/>
        <v>14.637599999999999</v>
      </c>
      <c r="O76" s="11"/>
      <c r="P76" s="7">
        <v>1632.08</v>
      </c>
      <c r="Q76" s="2"/>
      <c r="R76" s="6">
        <f t="shared" si="56"/>
        <v>9.6558942854461909E-3</v>
      </c>
      <c r="S76" s="2"/>
      <c r="T76" s="7">
        <v>100</v>
      </c>
      <c r="U76" s="2"/>
      <c r="V76" s="6">
        <f t="shared" si="57"/>
        <v>1.2033549536106666E-3</v>
      </c>
      <c r="W76" s="2"/>
      <c r="X76" s="7">
        <f t="shared" si="58"/>
        <v>1532.08</v>
      </c>
      <c r="Y76" s="2"/>
      <c r="Z76" s="6">
        <f t="shared" si="59"/>
        <v>15.320799999999998</v>
      </c>
    </row>
    <row r="77" spans="1:26" s="24" customFormat="1" hidden="1" outlineLevel="2" x14ac:dyDescent="0.25">
      <c r="A77" s="27"/>
      <c r="B77" s="11" t="str">
        <f>CONCATENATE("          ", "6243", " - ", "PAPER SUPPLIES")</f>
        <v xml:space="preserve">          6243 - PAPER SUPPLIES</v>
      </c>
      <c r="C77" s="11"/>
      <c r="D77" s="7">
        <v>394.35</v>
      </c>
      <c r="E77" s="2"/>
      <c r="F77" s="6">
        <f t="shared" si="52"/>
        <v>4.490933064086133E-3</v>
      </c>
      <c r="G77" s="2"/>
      <c r="H77" s="7">
        <v>300</v>
      </c>
      <c r="I77" s="2"/>
      <c r="J77" s="6">
        <f t="shared" si="53"/>
        <v>6.8579266201851639E-3</v>
      </c>
      <c r="K77" s="2"/>
      <c r="L77" s="7">
        <f t="shared" si="54"/>
        <v>94.350000000000023</v>
      </c>
      <c r="M77" s="2"/>
      <c r="N77" s="6">
        <f t="shared" si="55"/>
        <v>0.31450000000000006</v>
      </c>
      <c r="O77" s="11"/>
      <c r="P77" s="7">
        <v>444.91</v>
      </c>
      <c r="Q77" s="2"/>
      <c r="R77" s="6">
        <f t="shared" si="56"/>
        <v>2.6322263164415137E-3</v>
      </c>
      <c r="S77" s="2"/>
      <c r="T77" s="7">
        <v>1000</v>
      </c>
      <c r="U77" s="2"/>
      <c r="V77" s="6">
        <f t="shared" si="57"/>
        <v>1.2033549536106665E-2</v>
      </c>
      <c r="W77" s="2"/>
      <c r="X77" s="7">
        <f t="shared" si="58"/>
        <v>-555.08999999999992</v>
      </c>
      <c r="Y77" s="2"/>
      <c r="Z77" s="6">
        <f t="shared" si="59"/>
        <v>-0.55508999999999997</v>
      </c>
    </row>
    <row r="78" spans="1:26" s="24" customFormat="1" hidden="1" outlineLevel="2" x14ac:dyDescent="0.25">
      <c r="A78" s="27"/>
      <c r="B78" s="11" t="str">
        <f>CONCATENATE("          ", "6245", " - ", "PRINTING")</f>
        <v xml:space="preserve">          6245 - PRINTING</v>
      </c>
      <c r="C78" s="11"/>
      <c r="D78" s="7">
        <v>733</v>
      </c>
      <c r="E78" s="2"/>
      <c r="F78" s="6">
        <f t="shared" si="52"/>
        <v>8.3475438974898817E-3</v>
      </c>
      <c r="G78" s="2"/>
      <c r="H78" s="7">
        <v>50</v>
      </c>
      <c r="I78" s="2"/>
      <c r="J78" s="6">
        <f t="shared" si="53"/>
        <v>1.1429877700308607E-3</v>
      </c>
      <c r="K78" s="2"/>
      <c r="L78" s="7">
        <f t="shared" si="54"/>
        <v>683</v>
      </c>
      <c r="M78" s="2"/>
      <c r="N78" s="6">
        <f t="shared" si="55"/>
        <v>13.66</v>
      </c>
      <c r="O78" s="11"/>
      <c r="P78" s="7">
        <v>733</v>
      </c>
      <c r="Q78" s="2"/>
      <c r="R78" s="6">
        <f t="shared" si="56"/>
        <v>4.3366566045978496E-3</v>
      </c>
      <c r="S78" s="2"/>
      <c r="T78" s="7">
        <v>500</v>
      </c>
      <c r="U78" s="2"/>
      <c r="V78" s="6">
        <f t="shared" si="57"/>
        <v>6.0167747680533326E-3</v>
      </c>
      <c r="W78" s="2"/>
      <c r="X78" s="7">
        <f t="shared" si="58"/>
        <v>233</v>
      </c>
      <c r="Y78" s="2"/>
      <c r="Z78" s="6">
        <f t="shared" si="59"/>
        <v>0.46600000000000003</v>
      </c>
    </row>
    <row r="79" spans="1:26" s="24" customFormat="1" hidden="1" outlineLevel="2" x14ac:dyDescent="0.25">
      <c r="A79" s="27"/>
      <c r="B79" s="11" t="str">
        <f>CONCATENATE("          ", "6247", " - ", "STORE SUPPLIES")</f>
        <v xml:space="preserve">          6247 - STORE SUPPLIES</v>
      </c>
      <c r="C79" s="11"/>
      <c r="D79" s="7">
        <v>146.63</v>
      </c>
      <c r="E79" s="2"/>
      <c r="F79" s="6">
        <f t="shared" si="52"/>
        <v>1.6698504252236582E-3</v>
      </c>
      <c r="G79" s="2"/>
      <c r="H79" s="7"/>
      <c r="I79" s="2"/>
      <c r="J79" s="6">
        <f t="shared" si="53"/>
        <v>0</v>
      </c>
      <c r="K79" s="2"/>
      <c r="L79" s="7">
        <f t="shared" si="54"/>
        <v>146.63</v>
      </c>
      <c r="M79" s="2"/>
      <c r="N79" s="6">
        <f t="shared" si="55"/>
        <v>0</v>
      </c>
      <c r="O79" s="11"/>
      <c r="P79" s="7">
        <v>560.61</v>
      </c>
      <c r="Q79" s="2"/>
      <c r="R79" s="6">
        <f t="shared" si="56"/>
        <v>3.3167436004141893E-3</v>
      </c>
      <c r="S79" s="2"/>
      <c r="T79" s="7"/>
      <c r="U79" s="2"/>
      <c r="V79" s="6">
        <f t="shared" si="57"/>
        <v>0</v>
      </c>
      <c r="W79" s="2"/>
      <c r="X79" s="7">
        <f t="shared" si="58"/>
        <v>560.61</v>
      </c>
      <c r="Y79" s="2"/>
      <c r="Z79" s="6">
        <f t="shared" si="59"/>
        <v>0</v>
      </c>
    </row>
    <row r="80" spans="1:26" s="24" customFormat="1" hidden="1" outlineLevel="2" x14ac:dyDescent="0.25">
      <c r="A80" s="27"/>
      <c r="B80" s="11" t="str">
        <f>CONCATENATE("          ", "6248", " - ", "UNIFORMS")</f>
        <v xml:space="preserve">          6248 - UNIFORMS</v>
      </c>
      <c r="C80" s="11"/>
      <c r="D80" s="7"/>
      <c r="E80" s="2"/>
      <c r="F80" s="6">
        <f t="shared" si="52"/>
        <v>0</v>
      </c>
      <c r="G80" s="2"/>
      <c r="H80" s="7"/>
      <c r="I80" s="2"/>
      <c r="J80" s="6">
        <f t="shared" si="53"/>
        <v>0</v>
      </c>
      <c r="K80" s="2"/>
      <c r="L80" s="7">
        <f t="shared" si="54"/>
        <v>0</v>
      </c>
      <c r="M80" s="2"/>
      <c r="N80" s="6">
        <f t="shared" si="55"/>
        <v>0</v>
      </c>
      <c r="O80" s="11"/>
      <c r="P80" s="7"/>
      <c r="Q80" s="2"/>
      <c r="R80" s="6">
        <f t="shared" si="56"/>
        <v>0</v>
      </c>
      <c r="S80" s="2"/>
      <c r="T80" s="7">
        <v>800</v>
      </c>
      <c r="U80" s="2"/>
      <c r="V80" s="6">
        <f t="shared" si="57"/>
        <v>9.6268396288853326E-3</v>
      </c>
      <c r="W80" s="2"/>
      <c r="X80" s="7">
        <f t="shared" si="58"/>
        <v>-800</v>
      </c>
      <c r="Y80" s="2"/>
      <c r="Z80" s="6">
        <f t="shared" si="59"/>
        <v>-1</v>
      </c>
    </row>
    <row r="81" spans="1:26" s="28" customFormat="1" outlineLevel="1" collapsed="1" x14ac:dyDescent="0.25">
      <c r="A81" s="29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SUM(OSRRefD22_13x_0)</f>
        <v>150</v>
      </c>
      <c r="E81" s="1"/>
      <c r="F81" s="5">
        <f t="shared" ref="F81:F86" si="60">IF(D$12=0,0,D81/D$12)</f>
        <v>1.7082286284085708E-3</v>
      </c>
      <c r="G81" s="1"/>
      <c r="H81" s="1">
        <f>SUM(OSRRefH22_13x_0)</f>
        <v>150</v>
      </c>
      <c r="I81" s="1"/>
      <c r="J81" s="5">
        <f t="shared" ref="J81:J86" si="61">IF(H$12=0,0,H81/H$12)</f>
        <v>3.428963310092582E-3</v>
      </c>
      <c r="K81" s="1"/>
      <c r="L81" s="1">
        <f t="shared" ref="L81:L86" si="62">+D81-H81</f>
        <v>0</v>
      </c>
      <c r="M81" s="1"/>
      <c r="N81" s="5">
        <f t="shared" ref="N81:N86" si="63">IF(H81=0,0,L81/H81)</f>
        <v>0</v>
      </c>
      <c r="O81" s="14"/>
      <c r="P81" s="1">
        <f>SUM(OSRRefP22_13x_0)</f>
        <v>525</v>
      </c>
      <c r="Q81" s="1"/>
      <c r="R81" s="5">
        <f t="shared" ref="R81:R86" si="64">IF(P$12=0,0,P81/P$12)</f>
        <v>3.1060637345346129E-3</v>
      </c>
      <c r="S81" s="1"/>
      <c r="T81" s="1">
        <f>SUM(OSRRefT22_13x_0)</f>
        <v>600</v>
      </c>
      <c r="U81" s="1"/>
      <c r="V81" s="5">
        <f t="shared" ref="V81:V86" si="65">IF(T$12=0,0,T81/T$12)</f>
        <v>7.220129721663999E-3</v>
      </c>
      <c r="W81" s="1"/>
      <c r="X81" s="1">
        <f t="shared" ref="X81:X86" si="66">+P81-T81</f>
        <v>-75</v>
      </c>
      <c r="Y81" s="1"/>
      <c r="Z81" s="5">
        <f t="shared" ref="Z81:Z86" si="67">IF(T81=0,0,X81/T81)</f>
        <v>-0.125</v>
      </c>
    </row>
    <row r="82" spans="1:26" s="24" customFormat="1" hidden="1" outlineLevel="2" x14ac:dyDescent="0.25">
      <c r="A82" s="27"/>
      <c r="B82" s="11" t="str">
        <f>CONCATENATE("          ", "6309", " - ", "TELEPHONE")</f>
        <v xml:space="preserve">          6309 - TELEPHONE</v>
      </c>
      <c r="C82" s="11"/>
      <c r="D82" s="7">
        <v>150</v>
      </c>
      <c r="E82" s="2"/>
      <c r="F82" s="6">
        <f t="shared" si="60"/>
        <v>1.7082286284085708E-3</v>
      </c>
      <c r="G82" s="2"/>
      <c r="H82" s="7">
        <v>150</v>
      </c>
      <c r="I82" s="2"/>
      <c r="J82" s="6">
        <f t="shared" si="61"/>
        <v>3.428963310092582E-3</v>
      </c>
      <c r="K82" s="2"/>
      <c r="L82" s="7">
        <f t="shared" si="62"/>
        <v>0</v>
      </c>
      <c r="M82" s="2"/>
      <c r="N82" s="6">
        <f t="shared" si="63"/>
        <v>0</v>
      </c>
      <c r="O82" s="11"/>
      <c r="P82" s="7">
        <v>525</v>
      </c>
      <c r="Q82" s="2"/>
      <c r="R82" s="6">
        <f t="shared" si="64"/>
        <v>3.1060637345346129E-3</v>
      </c>
      <c r="S82" s="2"/>
      <c r="T82" s="7">
        <v>600</v>
      </c>
      <c r="U82" s="2"/>
      <c r="V82" s="6">
        <f t="shared" si="65"/>
        <v>7.220129721663999E-3</v>
      </c>
      <c r="W82" s="2"/>
      <c r="X82" s="7">
        <f t="shared" si="66"/>
        <v>-75</v>
      </c>
      <c r="Y82" s="2"/>
      <c r="Z82" s="6">
        <f t="shared" si="67"/>
        <v>-0.125</v>
      </c>
    </row>
    <row r="83" spans="1:26" s="28" customFormat="1" outlineLevel="1" collapsed="1" x14ac:dyDescent="0.25">
      <c r="A83" s="29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SUM(OSRRefD22_14x_0)</f>
        <v>0</v>
      </c>
      <c r="E83" s="1"/>
      <c r="F83" s="5">
        <f t="shared" si="60"/>
        <v>0</v>
      </c>
      <c r="G83" s="1"/>
      <c r="H83" s="1">
        <f>SUM(OSRRefH22_14x_0)</f>
        <v>0</v>
      </c>
      <c r="I83" s="1"/>
      <c r="J83" s="5">
        <f t="shared" si="61"/>
        <v>0</v>
      </c>
      <c r="K83" s="1"/>
      <c r="L83" s="1">
        <f t="shared" si="62"/>
        <v>0</v>
      </c>
      <c r="M83" s="1"/>
      <c r="N83" s="5">
        <f t="shared" si="63"/>
        <v>0</v>
      </c>
      <c r="O83" s="14"/>
      <c r="P83" s="1">
        <f>SUM(OSRRefP22_14x_0)</f>
        <v>0</v>
      </c>
      <c r="Q83" s="1"/>
      <c r="R83" s="5">
        <f t="shared" si="64"/>
        <v>0</v>
      </c>
      <c r="S83" s="1"/>
      <c r="T83" s="1">
        <f>SUM(OSRRefT22_14x_0)</f>
        <v>200</v>
      </c>
      <c r="U83" s="1"/>
      <c r="V83" s="5">
        <f t="shared" si="65"/>
        <v>2.4067099072213331E-3</v>
      </c>
      <c r="W83" s="1"/>
      <c r="X83" s="1">
        <f t="shared" si="66"/>
        <v>-200</v>
      </c>
      <c r="Y83" s="1"/>
      <c r="Z83" s="5">
        <f t="shared" si="67"/>
        <v>-1</v>
      </c>
    </row>
    <row r="84" spans="1:26" s="24" customFormat="1" hidden="1" outlineLevel="2" x14ac:dyDescent="0.25">
      <c r="A84" s="27"/>
      <c r="B84" s="11" t="str">
        <f>CONCATENATE("          ", "6376", " - ", "TRAINING")</f>
        <v xml:space="preserve">          6376 - TRAINING</v>
      </c>
      <c r="C84" s="11"/>
      <c r="D84" s="7"/>
      <c r="E84" s="2"/>
      <c r="F84" s="6">
        <f t="shared" si="60"/>
        <v>0</v>
      </c>
      <c r="G84" s="2"/>
      <c r="H84" s="7"/>
      <c r="I84" s="2"/>
      <c r="J84" s="6">
        <f t="shared" si="61"/>
        <v>0</v>
      </c>
      <c r="K84" s="2"/>
      <c r="L84" s="7">
        <f t="shared" si="62"/>
        <v>0</v>
      </c>
      <c r="M84" s="2"/>
      <c r="N84" s="6">
        <f t="shared" si="63"/>
        <v>0</v>
      </c>
      <c r="O84" s="11"/>
      <c r="P84" s="7"/>
      <c r="Q84" s="2"/>
      <c r="R84" s="6">
        <f t="shared" si="64"/>
        <v>0</v>
      </c>
      <c r="S84" s="2"/>
      <c r="T84" s="7">
        <v>200</v>
      </c>
      <c r="U84" s="2"/>
      <c r="V84" s="6">
        <f t="shared" si="65"/>
        <v>2.4067099072213331E-3</v>
      </c>
      <c r="W84" s="2"/>
      <c r="X84" s="7">
        <f t="shared" si="66"/>
        <v>-200</v>
      </c>
      <c r="Y84" s="2"/>
      <c r="Z84" s="6">
        <f t="shared" si="67"/>
        <v>-1</v>
      </c>
    </row>
    <row r="85" spans="1:26" s="28" customFormat="1" outlineLevel="1" collapsed="1" x14ac:dyDescent="0.25">
      <c r="A85" s="29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SUM(OSRRefD22_15x_0)</f>
        <v>200</v>
      </c>
      <c r="E85" s="1"/>
      <c r="F85" s="5">
        <f t="shared" si="60"/>
        <v>2.2776381712114276E-3</v>
      </c>
      <c r="G85" s="1"/>
      <c r="H85" s="1">
        <f>SUM(OSRRefH22_15x_0)</f>
        <v>200</v>
      </c>
      <c r="I85" s="1"/>
      <c r="J85" s="5">
        <f t="shared" si="61"/>
        <v>4.5719510801234429E-3</v>
      </c>
      <c r="K85" s="1"/>
      <c r="L85" s="1">
        <f t="shared" si="62"/>
        <v>0</v>
      </c>
      <c r="M85" s="1"/>
      <c r="N85" s="5">
        <f t="shared" si="63"/>
        <v>0</v>
      </c>
      <c r="O85" s="14"/>
      <c r="P85" s="1">
        <f>SUM(OSRRefP22_15x_0)</f>
        <v>800</v>
      </c>
      <c r="Q85" s="1"/>
      <c r="R85" s="5">
        <f t="shared" si="64"/>
        <v>4.7330495002432197E-3</v>
      </c>
      <c r="S85" s="1"/>
      <c r="T85" s="1">
        <f>SUM(OSRRefT22_15x_0)</f>
        <v>800</v>
      </c>
      <c r="U85" s="1"/>
      <c r="V85" s="5">
        <f t="shared" si="65"/>
        <v>9.6268396288853326E-3</v>
      </c>
      <c r="W85" s="1"/>
      <c r="X85" s="1">
        <f t="shared" si="66"/>
        <v>0</v>
      </c>
      <c r="Y85" s="1"/>
      <c r="Z85" s="5">
        <f t="shared" si="67"/>
        <v>0</v>
      </c>
    </row>
    <row r="86" spans="1:26" s="24" customFormat="1" hidden="1" outlineLevel="2" x14ac:dyDescent="0.25">
      <c r="A86" s="27"/>
      <c r="B86" s="11" t="str">
        <f>CONCATENATE("          ", "6274", " - ", "UTILITIES")</f>
        <v xml:space="preserve">          6274 - UTILITIES</v>
      </c>
      <c r="C86" s="11"/>
      <c r="D86" s="7">
        <v>200</v>
      </c>
      <c r="E86" s="2"/>
      <c r="F86" s="6">
        <f t="shared" si="60"/>
        <v>2.2776381712114276E-3</v>
      </c>
      <c r="G86" s="2"/>
      <c r="H86" s="7">
        <v>200</v>
      </c>
      <c r="I86" s="2"/>
      <c r="J86" s="6">
        <f t="shared" si="61"/>
        <v>4.5719510801234429E-3</v>
      </c>
      <c r="K86" s="2"/>
      <c r="L86" s="7">
        <f t="shared" si="62"/>
        <v>0</v>
      </c>
      <c r="M86" s="2"/>
      <c r="N86" s="6">
        <f t="shared" si="63"/>
        <v>0</v>
      </c>
      <c r="O86" s="11"/>
      <c r="P86" s="7">
        <v>800</v>
      </c>
      <c r="Q86" s="2"/>
      <c r="R86" s="6">
        <f t="shared" si="64"/>
        <v>4.7330495002432197E-3</v>
      </c>
      <c r="S86" s="2"/>
      <c r="T86" s="7">
        <v>800</v>
      </c>
      <c r="U86" s="2"/>
      <c r="V86" s="6">
        <f t="shared" si="65"/>
        <v>9.6268396288853326E-3</v>
      </c>
      <c r="W86" s="2"/>
      <c r="X86" s="7">
        <f t="shared" si="66"/>
        <v>0</v>
      </c>
      <c r="Y86" s="2"/>
      <c r="Z86" s="6">
        <f t="shared" si="67"/>
        <v>0</v>
      </c>
    </row>
    <row r="87" spans="1:26" s="60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5" t="s">
        <v>293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6" t="s">
        <v>277</v>
      </c>
      <c r="C90" s="26"/>
      <c r="D90" s="21">
        <f>+D23-D25+D88</f>
        <v>4109.7300000000032</v>
      </c>
      <c r="E90" s="13"/>
      <c r="F90" s="20">
        <f>IF(D$12=0,0,D90/D$12)</f>
        <v>4.680238960686374E-2</v>
      </c>
      <c r="G90" s="13"/>
      <c r="H90" s="21">
        <f>+H23-H25+H88</f>
        <v>-13556.542884615381</v>
      </c>
      <c r="I90" s="13"/>
      <c r="J90" s="20">
        <f>IF(H$12=0,0,H90/H$12)</f>
        <v>-0.30989925442028532</v>
      </c>
      <c r="K90" s="15"/>
      <c r="L90" s="21">
        <f>+D90-H90</f>
        <v>17666.272884615384</v>
      </c>
      <c r="M90" s="15"/>
      <c r="N90" s="20">
        <f>IF(H90=0,0,L90/H90)</f>
        <v>-1.3031547227769937</v>
      </c>
      <c r="O90" s="25"/>
      <c r="P90" s="21">
        <f>+P23-P25+P88</f>
        <v>-25009.320000000007</v>
      </c>
      <c r="Q90" s="13"/>
      <c r="R90" s="20">
        <f>IF(P$12=0,0,P90/P$12)</f>
        <v>-0.14796293690927848</v>
      </c>
      <c r="S90" s="13"/>
      <c r="T90" s="21">
        <f>+T23-T25+T88</f>
        <v>-72003.559254615335</v>
      </c>
      <c r="U90" s="13"/>
      <c r="V90" s="20">
        <f>IF(T$12=0,0,T90/T$12)</f>
        <v>-0.86645839706640515</v>
      </c>
      <c r="W90" s="15"/>
      <c r="X90" s="21">
        <f>+P90-T90</f>
        <v>46994.239254615328</v>
      </c>
      <c r="Y90" s="15"/>
      <c r="Z90" s="20">
        <f>IF(T90=0,0,X90/T90)</f>
        <v>-0.6526655034987463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128</v>
      </c>
      <c r="C92" s="10"/>
      <c r="D92" s="4">
        <v>9485.49</v>
      </c>
      <c r="E92" s="4"/>
      <c r="F92" s="12">
        <f>IF(D$12=0,0,D92/D$12)</f>
        <v>0.10802257048322142</v>
      </c>
      <c r="G92" s="4"/>
      <c r="H92" s="4">
        <v>5282</v>
      </c>
      <c r="I92" s="4"/>
      <c r="J92" s="12">
        <f>IF(H$12=0,0,H92/H$12)</f>
        <v>0.12074522802606012</v>
      </c>
      <c r="K92" s="4"/>
      <c r="L92" s="4">
        <f>+D92-H92</f>
        <v>4203.49</v>
      </c>
      <c r="M92" s="4"/>
      <c r="N92" s="12">
        <f>IF(H92=0,0,L92/H92)</f>
        <v>0.7958140855736463</v>
      </c>
      <c r="O92" s="10"/>
      <c r="P92" s="4">
        <v>19537.8</v>
      </c>
      <c r="Q92" s="4"/>
      <c r="R92" s="12">
        <f>IF(P$12=0,0,P92/P$12)</f>
        <v>0.11559171815731496</v>
      </c>
      <c r="S92" s="4"/>
      <c r="T92" s="4">
        <v>9555</v>
      </c>
      <c r="U92" s="4"/>
      <c r="V92" s="12">
        <f>IF(T$12=0,0,T92/T$12)</f>
        <v>0.11498056581749919</v>
      </c>
      <c r="W92" s="4"/>
      <c r="X92" s="4">
        <f>+P92-T92</f>
        <v>9982.7999999999993</v>
      </c>
      <c r="Y92" s="4"/>
      <c r="Z92" s="12">
        <f>IF(T92=0,0,X92/T92)</f>
        <v>1.0447723704866561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6" t="s">
        <v>126</v>
      </c>
      <c r="C94" s="26"/>
      <c r="D94" s="31">
        <f>+D90-D92</f>
        <v>-5375.7599999999966</v>
      </c>
      <c r="E94" s="13"/>
      <c r="F94" s="33">
        <f>IF(D$12=0,0,D94/D$12)</f>
        <v>-6.122018087635768E-2</v>
      </c>
      <c r="G94" s="13"/>
      <c r="H94" s="31">
        <f>+H90-H92</f>
        <v>-18838.542884615381</v>
      </c>
      <c r="I94" s="13"/>
      <c r="J94" s="33">
        <f>IF(H$12=0,0,H94/H$12)</f>
        <v>-0.43064448244634546</v>
      </c>
      <c r="K94" s="15"/>
      <c r="L94" s="31">
        <f>D94-H94</f>
        <v>13462.782884615384</v>
      </c>
      <c r="M94" s="15"/>
      <c r="N94" s="33">
        <f>IF(H94=0,0,L94/H94)</f>
        <v>-0.71464035021571937</v>
      </c>
      <c r="O94" s="25"/>
      <c r="P94" s="31">
        <f>+P90-P92</f>
        <v>-44547.12000000001</v>
      </c>
      <c r="Q94" s="13"/>
      <c r="R94" s="33">
        <f>IF(P$12=0,0,P94/P$12)</f>
        <v>-0.26355465506659348</v>
      </c>
      <c r="S94" s="13"/>
      <c r="T94" s="31">
        <f>+T90-T92</f>
        <v>-81558.559254615335</v>
      </c>
      <c r="U94" s="13"/>
      <c r="V94" s="33">
        <f>IF(T$12=0,0,T94/T$12)</f>
        <v>-0.98143896288390431</v>
      </c>
      <c r="W94" s="15"/>
      <c r="X94" s="31">
        <f>P94-T94</f>
        <v>37011.439254615325</v>
      </c>
      <c r="Y94" s="15"/>
      <c r="Z94" s="33">
        <f>IF(T94=0,0,X94/T94)</f>
        <v>-0.45380202388164276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6" t="s">
        <v>294</v>
      </c>
      <c r="C97" s="26"/>
      <c r="D97" s="35">
        <f>SUM(D94:D96)</f>
        <v>-5375.7599999999966</v>
      </c>
      <c r="E97" s="13"/>
      <c r="F97" s="32">
        <f>IF(D$12=0,0,D97/D$12)</f>
        <v>-6.122018087635768E-2</v>
      </c>
      <c r="G97" s="13"/>
      <c r="H97" s="35">
        <f>SUM(H94:H96)</f>
        <v>-18838.542884615381</v>
      </c>
      <c r="I97" s="13"/>
      <c r="J97" s="32">
        <f>IF(H$12=0,0,H97/H$12)</f>
        <v>-0.43064448244634546</v>
      </c>
      <c r="K97" s="15"/>
      <c r="L97" s="35">
        <f>+D97-H97</f>
        <v>13462.782884615384</v>
      </c>
      <c r="M97" s="15"/>
      <c r="N97" s="32">
        <f>IF(H97=0,0,L97/H97)</f>
        <v>-0.71464035021571937</v>
      </c>
      <c r="O97" s="25"/>
      <c r="P97" s="35">
        <f>SUM(P94:P96)</f>
        <v>-44547.12000000001</v>
      </c>
      <c r="Q97" s="13"/>
      <c r="R97" s="32">
        <f>IF(P$12=0,0,P97/P$12)</f>
        <v>-0.26355465506659348</v>
      </c>
      <c r="S97" s="13"/>
      <c r="T97" s="35">
        <f>SUM(T94:T96)</f>
        <v>-81558.559254615335</v>
      </c>
      <c r="U97" s="13"/>
      <c r="V97" s="32">
        <f>IF(T$12=0,0,T97/T$12)</f>
        <v>-0.98143896288390431</v>
      </c>
      <c r="W97" s="15"/>
      <c r="X97" s="35">
        <f>+P97-T97</f>
        <v>37011.439254615325</v>
      </c>
      <c r="Y97" s="15"/>
      <c r="Z97" s="32">
        <f>IF(T97=0,0,X97/T97)</f>
        <v>-0.45380202388164276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6" x14ac:dyDescent="0.25">
      <c r="A99" s="9"/>
      <c r="B99" s="59">
        <v>44517.962875613426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62" t="s">
        <v>56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7"/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","406", " - ", "OPA! Greek")</f>
        <v>Department 406 - OPA! Greek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0</v>
      </c>
      <c r="E18" s="22"/>
      <c r="F18" s="34">
        <f t="shared" ref="F18:F22" si="0">IF(D$12=0,0,D18/D$12)</f>
        <v>0</v>
      </c>
      <c r="G18" s="22"/>
      <c r="H18" s="22">
        <f>SUM(OSRRefH22x_0)</f>
        <v>0</v>
      </c>
      <c r="I18" s="22"/>
      <c r="J18" s="34">
        <f t="shared" ref="J18:J22" si="1">IF(H$12=0,0,H18/H$12)</f>
        <v>0</v>
      </c>
      <c r="K18" s="4"/>
      <c r="L18" s="22">
        <f t="shared" ref="L18:L22" si="2">+D18-H18</f>
        <v>0</v>
      </c>
      <c r="M18" s="4"/>
      <c r="N18" s="34">
        <f t="shared" ref="N18:N22" si="3">IF(H18=0,0,L18/H18)</f>
        <v>0</v>
      </c>
      <c r="O18" s="10"/>
      <c r="P18" s="22">
        <f>SUM(OSRRefP22x_0)</f>
        <v>69.290000000000006</v>
      </c>
      <c r="Q18" s="22"/>
      <c r="R18" s="34">
        <f t="shared" ref="R18:R22" si="4">IF(P$12=0,0,P18/P$12)</f>
        <v>0</v>
      </c>
      <c r="S18" s="22"/>
      <c r="T18" s="22">
        <f>SUM(OSRRefT22x_0)</f>
        <v>0</v>
      </c>
      <c r="U18" s="22"/>
      <c r="V18" s="34">
        <f t="shared" ref="V18:V22" si="5">IF(T$12=0,0,T18/T$12)</f>
        <v>0</v>
      </c>
      <c r="W18" s="4"/>
      <c r="X18" s="22">
        <f t="shared" ref="X18:X22" si="6">+P18-T18</f>
        <v>69.290000000000006</v>
      </c>
      <c r="Y18" s="4"/>
      <c r="Z18" s="34">
        <f t="shared" ref="Z18:Z22" si="7">IF(T18=0,0,X18/T18)</f>
        <v>0</v>
      </c>
    </row>
    <row r="19" spans="1:26" s="28" customFormat="1" outlineLevel="1" collapsed="1" x14ac:dyDescent="0.25">
      <c r="A19" s="29"/>
      <c r="B19" s="14" t="str">
        <f>CONCATENATE("     ","Repair and Maintenance                            ")</f>
        <v xml:space="preserve">     Repair and Maintenance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69.290000000000006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69.290000000000006</v>
      </c>
      <c r="Y19" s="1"/>
      <c r="Z19" s="5">
        <f t="shared" si="7"/>
        <v>0</v>
      </c>
    </row>
    <row r="20" spans="1:26" s="24" customFormat="1" hidden="1" outlineLevel="2" x14ac:dyDescent="0.25">
      <c r="A20" s="27"/>
      <c r="B20" s="11" t="str">
        <f>CONCATENATE("          ", "6373", " - ", "MAINTENANCE CONTRACTS")</f>
        <v xml:space="preserve">          6373 - MAINTENANCE CONTRACTS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69.290000000000006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69.290000000000006</v>
      </c>
      <c r="Y20" s="2"/>
      <c r="Z20" s="6">
        <f t="shared" si="7"/>
        <v>0</v>
      </c>
    </row>
    <row r="21" spans="1:26" s="28" customFormat="1" outlineLevel="1" collapsed="1" x14ac:dyDescent="0.25">
      <c r="A21" s="29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0</v>
      </c>
      <c r="Y21" s="1"/>
      <c r="Z21" s="5">
        <f t="shared" si="7"/>
        <v>0</v>
      </c>
    </row>
    <row r="22" spans="1:26" s="24" customFormat="1" hidden="1" outlineLevel="2" x14ac:dyDescent="0.25">
      <c r="A22" s="27"/>
      <c r="B22" s="11" t="str">
        <f>CONCATENATE("          ", "6284", " - ", "TRASH REMOVAL EXPENSE")</f>
        <v xml:space="preserve">          6284 - TRASH REMOVAL EXPENSE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/>
      <c r="Q22" s="2"/>
      <c r="R22" s="6">
        <f t="shared" si="4"/>
        <v>0</v>
      </c>
      <c r="S22" s="2"/>
      <c r="T22" s="7">
        <v>0</v>
      </c>
      <c r="U22" s="2"/>
      <c r="V22" s="6">
        <f t="shared" si="5"/>
        <v>0</v>
      </c>
      <c r="W22" s="2"/>
      <c r="X22" s="7">
        <f t="shared" si="6"/>
        <v>0</v>
      </c>
      <c r="Y22" s="2"/>
      <c r="Z22" s="6">
        <f t="shared" si="7"/>
        <v>0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293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6" t="s">
        <v>277</v>
      </c>
      <c r="C26" s="26"/>
      <c r="D26" s="21">
        <f>+D16-D18+D24</f>
        <v>0</v>
      </c>
      <c r="E26" s="13"/>
      <c r="F26" s="20">
        <f>IF(D$12=0,0,D26/D$12)</f>
        <v>0</v>
      </c>
      <c r="G26" s="13"/>
      <c r="H26" s="21">
        <f>+H16-H18+H24</f>
        <v>0</v>
      </c>
      <c r="I26" s="13"/>
      <c r="J26" s="20">
        <f>IF(H$12=0,0,H26/H$12)</f>
        <v>0</v>
      </c>
      <c r="K26" s="15"/>
      <c r="L26" s="21">
        <f>+D26-H26</f>
        <v>0</v>
      </c>
      <c r="M26" s="15"/>
      <c r="N26" s="20">
        <f>IF(H26=0,0,L26/H26)</f>
        <v>0</v>
      </c>
      <c r="O26" s="25"/>
      <c r="P26" s="21">
        <f>+P16-P18+P24</f>
        <v>-69.290000000000006</v>
      </c>
      <c r="Q26" s="13"/>
      <c r="R26" s="20">
        <f>IF(P$12=0,0,P26/P$12)</f>
        <v>0</v>
      </c>
      <c r="S26" s="13"/>
      <c r="T26" s="21">
        <f>+T16-T18+T24</f>
        <v>0</v>
      </c>
      <c r="U26" s="13"/>
      <c r="V26" s="20">
        <f>IF(T$12=0,0,T26/T$12)</f>
        <v>0</v>
      </c>
      <c r="W26" s="15"/>
      <c r="X26" s="21">
        <f>+P26-T26</f>
        <v>-69.290000000000006</v>
      </c>
      <c r="Y26" s="15"/>
      <c r="Z26" s="20">
        <f>IF(T26=0,0,X26/T26)</f>
        <v>0</v>
      </c>
    </row>
    <row r="27" spans="1:26" x14ac:dyDescent="0.25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128</v>
      </c>
      <c r="C28" s="10"/>
      <c r="D28" s="4"/>
      <c r="E28" s="4"/>
      <c r="F28" s="12">
        <f>IF(D$12=0,0,D28/D$12)</f>
        <v>0</v>
      </c>
      <c r="G28" s="4"/>
      <c r="H28" s="4"/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/>
      <c r="Q28" s="4"/>
      <c r="R28" s="12">
        <f>IF(P$12=0,0,P28/P$12)</f>
        <v>0</v>
      </c>
      <c r="S28" s="4"/>
      <c r="T28" s="4"/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.75" thickBot="1" x14ac:dyDescent="0.3">
      <c r="A30" s="10"/>
      <c r="B30" s="26" t="s">
        <v>126</v>
      </c>
      <c r="C30" s="26"/>
      <c r="D30" s="31">
        <f>+D26-D28</f>
        <v>0</v>
      </c>
      <c r="E30" s="13"/>
      <c r="F30" s="33">
        <f>IF(D$12=0,0,D30/D$12)</f>
        <v>0</v>
      </c>
      <c r="G30" s="13"/>
      <c r="H30" s="31">
        <f>+H26-H28</f>
        <v>0</v>
      </c>
      <c r="I30" s="13"/>
      <c r="J30" s="33">
        <f>IF(H$12=0,0,H30/H$12)</f>
        <v>0</v>
      </c>
      <c r="K30" s="15"/>
      <c r="L30" s="31">
        <f>D30-H30</f>
        <v>0</v>
      </c>
      <c r="M30" s="15"/>
      <c r="N30" s="33">
        <f>IF(H30=0,0,L30/H30)</f>
        <v>0</v>
      </c>
      <c r="O30" s="25"/>
      <c r="P30" s="31">
        <f>+P26-P28</f>
        <v>-69.290000000000006</v>
      </c>
      <c r="Q30" s="13"/>
      <c r="R30" s="33">
        <f>IF(P$12=0,0,P30/P$12)</f>
        <v>0</v>
      </c>
      <c r="S30" s="13"/>
      <c r="T30" s="31">
        <f>+T26-T28</f>
        <v>0</v>
      </c>
      <c r="U30" s="13"/>
      <c r="V30" s="33">
        <f>IF(T$12=0,0,T30/T$12)</f>
        <v>0</v>
      </c>
      <c r="W30" s="15"/>
      <c r="X30" s="31">
        <f>P30-T30</f>
        <v>-69.290000000000006</v>
      </c>
      <c r="Y30" s="15"/>
      <c r="Z30" s="33">
        <f>IF(T30=0,0,X30/T30)</f>
        <v>0</v>
      </c>
    </row>
    <row r="31" spans="1:26" ht="15.75" thickTop="1" x14ac:dyDescent="0.25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6" t="s">
        <v>294</v>
      </c>
      <c r="C33" s="26"/>
      <c r="D33" s="35">
        <f>SUM(D30:D32)</f>
        <v>0</v>
      </c>
      <c r="E33" s="13"/>
      <c r="F33" s="32">
        <f>IF(D$12=0,0,D33/D$12)</f>
        <v>0</v>
      </c>
      <c r="G33" s="13"/>
      <c r="H33" s="35">
        <f>SUM(H30:H32)</f>
        <v>0</v>
      </c>
      <c r="I33" s="13"/>
      <c r="J33" s="32">
        <f>IF(H$12=0,0,H33/H$12)</f>
        <v>0</v>
      </c>
      <c r="K33" s="15"/>
      <c r="L33" s="35">
        <f>+D33-H33</f>
        <v>0</v>
      </c>
      <c r="M33" s="15"/>
      <c r="N33" s="32">
        <f>IF(H33=0,0,L33/H33)</f>
        <v>0</v>
      </c>
      <c r="O33" s="25"/>
      <c r="P33" s="35">
        <f>SUM(P30:P32)</f>
        <v>-69.290000000000006</v>
      </c>
      <c r="Q33" s="13"/>
      <c r="R33" s="32">
        <f>IF(P$12=0,0,P33/P$12)</f>
        <v>0</v>
      </c>
      <c r="S33" s="13"/>
      <c r="T33" s="35">
        <f>SUM(T30:T32)</f>
        <v>0</v>
      </c>
      <c r="U33" s="13"/>
      <c r="V33" s="32">
        <f>IF(T$12=0,0,T33/T$12)</f>
        <v>0</v>
      </c>
      <c r="W33" s="15"/>
      <c r="X33" s="35">
        <f>+P33-T33</f>
        <v>-69.290000000000006</v>
      </c>
      <c r="Y33" s="15"/>
      <c r="Z33" s="32">
        <f>IF(T33=0,0,X33/T33)</f>
        <v>0</v>
      </c>
    </row>
    <row r="34" spans="1:26" ht="15.75" thickTop="1" x14ac:dyDescent="0.25">
      <c r="A34" s="9"/>
      <c r="C34" s="9"/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6" x14ac:dyDescent="0.25">
      <c r="A35" s="9"/>
      <c r="B35" s="59">
        <v>44517.962875613426</v>
      </c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6" x14ac:dyDescent="0.25">
      <c r="A36" s="9"/>
      <c r="B36" s="62" t="s">
        <v>56</v>
      </c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57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","411", " - ", "University Dining")</f>
        <v>Department 411 - University Dining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56438.829999999994</v>
      </c>
      <c r="E18" s="22"/>
      <c r="F18" s="34">
        <f t="shared" ref="F18:F28" si="0">IF(D$12=0,0,D18/D$12)</f>
        <v>0</v>
      </c>
      <c r="G18" s="22"/>
      <c r="H18" s="22">
        <f>SUM(OSRRefH22x_0)</f>
        <v>48157.665538461551</v>
      </c>
      <c r="I18" s="22"/>
      <c r="J18" s="34">
        <f t="shared" ref="J18:J28" si="1">IF(H$12=0,0,H18/H$12)</f>
        <v>0</v>
      </c>
      <c r="K18" s="4"/>
      <c r="L18" s="22">
        <f t="shared" ref="L18:L28" si="2">+D18-H18</f>
        <v>8281.164461538443</v>
      </c>
      <c r="M18" s="4"/>
      <c r="N18" s="34">
        <f t="shared" ref="N18:N28" si="3">IF(H18=0,0,L18/H18)</f>
        <v>0.1719594247134886</v>
      </c>
      <c r="O18" s="10"/>
      <c r="P18" s="22">
        <f>SUM(OSRRefP22x_0)</f>
        <v>206194.11000000002</v>
      </c>
      <c r="Q18" s="22"/>
      <c r="R18" s="34">
        <f t="shared" ref="R18:R28" si="4">IF(P$12=0,0,P18/P$12)</f>
        <v>0</v>
      </c>
      <c r="S18" s="22"/>
      <c r="T18" s="22">
        <f>SUM(OSRRefT22x_0)</f>
        <v>179834.59593846154</v>
      </c>
      <c r="U18" s="22"/>
      <c r="V18" s="34">
        <f t="shared" ref="V18:V28" si="5">IF(T$12=0,0,T18/T$12)</f>
        <v>0</v>
      </c>
      <c r="W18" s="4"/>
      <c r="X18" s="22">
        <f t="shared" ref="X18:X28" si="6">+P18-T18</f>
        <v>26359.514061538473</v>
      </c>
      <c r="Y18" s="4"/>
      <c r="Z18" s="34">
        <f t="shared" ref="Z18:Z28" si="7">IF(T18=0,0,X18/T18)</f>
        <v>0.14657643555169197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12482.669999999998</v>
      </c>
      <c r="E19" s="1"/>
      <c r="F19" s="5">
        <f t="shared" si="0"/>
        <v>0</v>
      </c>
      <c r="G19" s="1"/>
      <c r="H19" s="1">
        <f>SUM(OSRRefH22_0x_0)</f>
        <v>9825.5116923077076</v>
      </c>
      <c r="I19" s="1"/>
      <c r="J19" s="5">
        <f t="shared" si="1"/>
        <v>0</v>
      </c>
      <c r="K19" s="1"/>
      <c r="L19" s="1">
        <f t="shared" si="2"/>
        <v>2657.1583076922907</v>
      </c>
      <c r="M19" s="1"/>
      <c r="N19" s="5">
        <f t="shared" si="3"/>
        <v>0.27043459830927202</v>
      </c>
      <c r="O19" s="14"/>
      <c r="P19" s="1">
        <f>SUM(OSRRefP22_0x_0)</f>
        <v>39843.360000000001</v>
      </c>
      <c r="Q19" s="1"/>
      <c r="R19" s="5">
        <f t="shared" si="4"/>
        <v>0</v>
      </c>
      <c r="S19" s="1"/>
      <c r="T19" s="1">
        <f>SUM(OSRRefT22_0x_0)</f>
        <v>36617.44209230772</v>
      </c>
      <c r="U19" s="1"/>
      <c r="V19" s="5">
        <f t="shared" si="5"/>
        <v>0</v>
      </c>
      <c r="W19" s="1"/>
      <c r="X19" s="1">
        <f t="shared" si="6"/>
        <v>3225.917907692281</v>
      </c>
      <c r="Y19" s="1"/>
      <c r="Z19" s="5">
        <f t="shared" si="7"/>
        <v>8.8097849641167431E-2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2044.79</v>
      </c>
      <c r="E20" s="2"/>
      <c r="F20" s="6">
        <f t="shared" si="0"/>
        <v>0</v>
      </c>
      <c r="G20" s="2"/>
      <c r="H20" s="7">
        <v>1697.78861538462</v>
      </c>
      <c r="I20" s="2"/>
      <c r="J20" s="6">
        <f t="shared" si="1"/>
        <v>0</v>
      </c>
      <c r="K20" s="2"/>
      <c r="L20" s="7">
        <f t="shared" si="2"/>
        <v>347.00138461537995</v>
      </c>
      <c r="M20" s="2"/>
      <c r="N20" s="6">
        <f t="shared" si="3"/>
        <v>0.20438432763125206</v>
      </c>
      <c r="O20" s="11"/>
      <c r="P20" s="7">
        <v>6167.38</v>
      </c>
      <c r="Q20" s="2"/>
      <c r="R20" s="6">
        <f t="shared" si="4"/>
        <v>0</v>
      </c>
      <c r="S20" s="2"/>
      <c r="T20" s="7">
        <v>6112.0390153846201</v>
      </c>
      <c r="U20" s="2"/>
      <c r="V20" s="6">
        <f t="shared" si="5"/>
        <v>0</v>
      </c>
      <c r="W20" s="2"/>
      <c r="X20" s="7">
        <f t="shared" si="6"/>
        <v>55.340984615379966</v>
      </c>
      <c r="Y20" s="2"/>
      <c r="Z20" s="6">
        <f t="shared" si="7"/>
        <v>9.05442266910946E-3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337.02</v>
      </c>
      <c r="E21" s="2"/>
      <c r="F21" s="6">
        <f t="shared" si="0"/>
        <v>0</v>
      </c>
      <c r="G21" s="2"/>
      <c r="H21" s="7">
        <v>840.79692307692505</v>
      </c>
      <c r="I21" s="2"/>
      <c r="J21" s="6">
        <f t="shared" si="1"/>
        <v>0</v>
      </c>
      <c r="K21" s="2"/>
      <c r="L21" s="7">
        <f t="shared" si="2"/>
        <v>-503.77692307692507</v>
      </c>
      <c r="M21" s="2"/>
      <c r="N21" s="6">
        <f t="shared" si="3"/>
        <v>-0.5991659927028945</v>
      </c>
      <c r="O21" s="11"/>
      <c r="P21" s="7">
        <v>1007.18</v>
      </c>
      <c r="Q21" s="2"/>
      <c r="R21" s="6">
        <f t="shared" si="4"/>
        <v>0</v>
      </c>
      <c r="S21" s="2"/>
      <c r="T21" s="7">
        <v>3026.8689230769301</v>
      </c>
      <c r="U21" s="2"/>
      <c r="V21" s="6">
        <f t="shared" si="5"/>
        <v>0</v>
      </c>
      <c r="W21" s="2"/>
      <c r="X21" s="7">
        <f t="shared" si="6"/>
        <v>-2019.6889230769302</v>
      </c>
      <c r="Y21" s="2"/>
      <c r="Z21" s="6">
        <f t="shared" si="7"/>
        <v>-0.66725351325218196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3318.36</v>
      </c>
      <c r="E22" s="2"/>
      <c r="F22" s="6">
        <f t="shared" si="0"/>
        <v>0</v>
      </c>
      <c r="G22" s="2"/>
      <c r="H22" s="7">
        <v>2764</v>
      </c>
      <c r="I22" s="2"/>
      <c r="J22" s="6">
        <f t="shared" si="1"/>
        <v>0</v>
      </c>
      <c r="K22" s="2"/>
      <c r="L22" s="7">
        <f t="shared" si="2"/>
        <v>554.36000000000013</v>
      </c>
      <c r="M22" s="2"/>
      <c r="N22" s="6">
        <f t="shared" si="3"/>
        <v>0.20056439942112886</v>
      </c>
      <c r="O22" s="11"/>
      <c r="P22" s="7">
        <v>13292.19</v>
      </c>
      <c r="Q22" s="2"/>
      <c r="R22" s="6">
        <f t="shared" si="4"/>
        <v>0</v>
      </c>
      <c r="S22" s="2"/>
      <c r="T22" s="7">
        <v>11056</v>
      </c>
      <c r="U22" s="2"/>
      <c r="V22" s="6">
        <f t="shared" si="5"/>
        <v>0</v>
      </c>
      <c r="W22" s="2"/>
      <c r="X22" s="7">
        <f t="shared" si="6"/>
        <v>2236.1900000000005</v>
      </c>
      <c r="Y22" s="2"/>
      <c r="Z22" s="6">
        <f t="shared" si="7"/>
        <v>0.20226031114327067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67.930000000000007</v>
      </c>
      <c r="E23" s="2"/>
      <c r="F23" s="6">
        <f t="shared" si="0"/>
        <v>0</v>
      </c>
      <c r="G23" s="2"/>
      <c r="H23" s="7">
        <v>46.5876923076924</v>
      </c>
      <c r="I23" s="2"/>
      <c r="J23" s="6">
        <f t="shared" si="1"/>
        <v>0</v>
      </c>
      <c r="K23" s="2"/>
      <c r="L23" s="7">
        <f t="shared" si="2"/>
        <v>21.342307692307607</v>
      </c>
      <c r="M23" s="2"/>
      <c r="N23" s="6">
        <f t="shared" si="3"/>
        <v>0.45811042863747164</v>
      </c>
      <c r="O23" s="11"/>
      <c r="P23" s="7">
        <v>202.99</v>
      </c>
      <c r="Q23" s="2"/>
      <c r="R23" s="6">
        <f t="shared" si="4"/>
        <v>0</v>
      </c>
      <c r="S23" s="2"/>
      <c r="T23" s="7">
        <v>167.71569230769299</v>
      </c>
      <c r="U23" s="2"/>
      <c r="V23" s="6">
        <f t="shared" si="5"/>
        <v>0</v>
      </c>
      <c r="W23" s="2"/>
      <c r="X23" s="7">
        <f t="shared" si="6"/>
        <v>35.274307692307019</v>
      </c>
      <c r="Y23" s="2"/>
      <c r="Z23" s="6">
        <f t="shared" si="7"/>
        <v>0.21032204683383116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2809.81</v>
      </c>
      <c r="E24" s="2"/>
      <c r="F24" s="6">
        <f t="shared" si="0"/>
        <v>0</v>
      </c>
      <c r="G24" s="2"/>
      <c r="H24" s="7">
        <v>1907.8769230769301</v>
      </c>
      <c r="I24" s="2"/>
      <c r="J24" s="6">
        <f t="shared" si="1"/>
        <v>0</v>
      </c>
      <c r="K24" s="2"/>
      <c r="L24" s="7">
        <f t="shared" si="2"/>
        <v>901.93307692306985</v>
      </c>
      <c r="M24" s="2"/>
      <c r="N24" s="6">
        <f t="shared" si="3"/>
        <v>0.47274175079830438</v>
      </c>
      <c r="O24" s="11"/>
      <c r="P24" s="7">
        <v>8429.44</v>
      </c>
      <c r="Q24" s="2"/>
      <c r="R24" s="6">
        <f t="shared" si="4"/>
        <v>0</v>
      </c>
      <c r="S24" s="2"/>
      <c r="T24" s="7">
        <v>6868.3569230769399</v>
      </c>
      <c r="U24" s="2"/>
      <c r="V24" s="6">
        <f t="shared" si="5"/>
        <v>0</v>
      </c>
      <c r="W24" s="2"/>
      <c r="X24" s="7">
        <f t="shared" si="6"/>
        <v>1561.0830769230606</v>
      </c>
      <c r="Y24" s="2"/>
      <c r="Z24" s="6">
        <f t="shared" si="7"/>
        <v>0.22728624828421329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7">
        <v>2278.41</v>
      </c>
      <c r="E26" s="2"/>
      <c r="F26" s="6">
        <f t="shared" si="0"/>
        <v>0</v>
      </c>
      <c r="G26" s="2"/>
      <c r="H26" s="7">
        <v>2060</v>
      </c>
      <c r="I26" s="2"/>
      <c r="J26" s="6">
        <f t="shared" si="1"/>
        <v>0</v>
      </c>
      <c r="K26" s="2"/>
      <c r="L26" s="7">
        <f t="shared" si="2"/>
        <v>218.40999999999985</v>
      </c>
      <c r="M26" s="2"/>
      <c r="N26" s="6">
        <f t="shared" si="3"/>
        <v>0.10602427184466012</v>
      </c>
      <c r="O26" s="11"/>
      <c r="P26" s="7">
        <v>6835.23</v>
      </c>
      <c r="Q26" s="2"/>
      <c r="R26" s="6">
        <f t="shared" si="4"/>
        <v>0</v>
      </c>
      <c r="S26" s="2"/>
      <c r="T26" s="7">
        <v>7416</v>
      </c>
      <c r="U26" s="2"/>
      <c r="V26" s="6">
        <f t="shared" si="5"/>
        <v>0</v>
      </c>
      <c r="W26" s="2"/>
      <c r="X26" s="7">
        <f t="shared" si="6"/>
        <v>-580.77000000000044</v>
      </c>
      <c r="Y26" s="2"/>
      <c r="Z26" s="6">
        <f t="shared" si="7"/>
        <v>-7.8313106796116569E-2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7">
        <v>1191.21</v>
      </c>
      <c r="E27" s="2"/>
      <c r="F27" s="6">
        <f t="shared" si="0"/>
        <v>0</v>
      </c>
      <c r="G27" s="2"/>
      <c r="H27" s="7">
        <v>158.46153846153899</v>
      </c>
      <c r="I27" s="2"/>
      <c r="J27" s="6">
        <f t="shared" si="1"/>
        <v>0</v>
      </c>
      <c r="K27" s="2"/>
      <c r="L27" s="7">
        <f t="shared" si="2"/>
        <v>1032.748461538461</v>
      </c>
      <c r="M27" s="2"/>
      <c r="N27" s="6">
        <f t="shared" si="3"/>
        <v>6.5173446601941496</v>
      </c>
      <c r="O27" s="11"/>
      <c r="P27" s="7">
        <v>2722.95</v>
      </c>
      <c r="Q27" s="2"/>
      <c r="R27" s="6">
        <f t="shared" si="4"/>
        <v>0</v>
      </c>
      <c r="S27" s="2"/>
      <c r="T27" s="7">
        <v>570.46153846154004</v>
      </c>
      <c r="U27" s="2"/>
      <c r="V27" s="6">
        <f t="shared" si="5"/>
        <v>0</v>
      </c>
      <c r="W27" s="2"/>
      <c r="X27" s="7">
        <f t="shared" si="6"/>
        <v>2152.4884615384599</v>
      </c>
      <c r="Y27" s="2"/>
      <c r="Z27" s="6">
        <f t="shared" si="7"/>
        <v>3.7732402912621223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7">
        <v>435.14</v>
      </c>
      <c r="E28" s="2"/>
      <c r="F28" s="6">
        <f t="shared" si="0"/>
        <v>0</v>
      </c>
      <c r="G28" s="2"/>
      <c r="H28" s="7">
        <v>350</v>
      </c>
      <c r="I28" s="2"/>
      <c r="J28" s="6">
        <f t="shared" si="1"/>
        <v>0</v>
      </c>
      <c r="K28" s="2"/>
      <c r="L28" s="7">
        <f t="shared" si="2"/>
        <v>85.139999999999986</v>
      </c>
      <c r="M28" s="2"/>
      <c r="N28" s="6">
        <f t="shared" si="3"/>
        <v>0.24325714285714281</v>
      </c>
      <c r="O28" s="11"/>
      <c r="P28" s="7">
        <v>1186</v>
      </c>
      <c r="Q28" s="2"/>
      <c r="R28" s="6">
        <f t="shared" si="4"/>
        <v>0</v>
      </c>
      <c r="S28" s="2"/>
      <c r="T28" s="7">
        <v>1400</v>
      </c>
      <c r="U28" s="2"/>
      <c r="V28" s="6">
        <f t="shared" si="5"/>
        <v>0</v>
      </c>
      <c r="W28" s="2"/>
      <c r="X28" s="7">
        <f t="shared" si="6"/>
        <v>-214</v>
      </c>
      <c r="Y28" s="2"/>
      <c r="Z28" s="6">
        <f t="shared" si="7"/>
        <v>-0.15285714285714286</v>
      </c>
    </row>
    <row r="29" spans="1:26" s="28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18497.079999999998</v>
      </c>
      <c r="E29" s="1"/>
      <c r="F29" s="5">
        <f t="shared" ref="F29:F39" si="8">IF(D$12=0,0,D29/D$12)</f>
        <v>0</v>
      </c>
      <c r="G29" s="1"/>
      <c r="H29" s="1">
        <f>SUM(OSRRefH22_1x_0)</f>
        <v>19966.15384615384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-1469.0738461538422</v>
      </c>
      <c r="M29" s="1"/>
      <c r="N29" s="5">
        <f t="shared" ref="N29:N39" si="11">IF(H29=0,0,L29/H29)</f>
        <v>-7.3578209277238224E-2</v>
      </c>
      <c r="O29" s="14"/>
      <c r="P29" s="1">
        <f>SUM(OSRRefP22_1x_0)</f>
        <v>73008.850000000006</v>
      </c>
      <c r="Q29" s="1"/>
      <c r="R29" s="5">
        <f t="shared" ref="R29:R39" si="12">IF(P$12=0,0,P29/P$12)</f>
        <v>0</v>
      </c>
      <c r="S29" s="1"/>
      <c r="T29" s="1">
        <f>SUM(OSRRefT22_1x_0)</f>
        <v>71878.1538461538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1130.6961538462056</v>
      </c>
      <c r="Y29" s="1"/>
      <c r="Z29" s="5">
        <f t="shared" ref="Z29:Z39" si="15">IF(T29=0,0,X29/T29)</f>
        <v>1.573073449084849E-2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>
        <v>10516.14</v>
      </c>
      <c r="E30" s="2"/>
      <c r="F30" s="6">
        <f t="shared" si="8"/>
        <v>0</v>
      </c>
      <c r="G30" s="2"/>
      <c r="H30" s="7">
        <v>12835.384615384601</v>
      </c>
      <c r="I30" s="2"/>
      <c r="J30" s="6">
        <f t="shared" si="9"/>
        <v>0</v>
      </c>
      <c r="K30" s="2"/>
      <c r="L30" s="7">
        <f t="shared" si="10"/>
        <v>-2319.2446153846013</v>
      </c>
      <c r="M30" s="2"/>
      <c r="N30" s="6">
        <f t="shared" si="11"/>
        <v>-0.18069147788565176</v>
      </c>
      <c r="O30" s="11"/>
      <c r="P30" s="7">
        <v>43723.66</v>
      </c>
      <c r="Q30" s="2"/>
      <c r="R30" s="6">
        <f t="shared" si="12"/>
        <v>0</v>
      </c>
      <c r="S30" s="2"/>
      <c r="T30" s="7">
        <v>46207.384615384603</v>
      </c>
      <c r="U30" s="2"/>
      <c r="V30" s="6">
        <f t="shared" si="13"/>
        <v>0</v>
      </c>
      <c r="W30" s="2"/>
      <c r="X30" s="7">
        <f t="shared" si="14"/>
        <v>-2483.724615384599</v>
      </c>
      <c r="Y30" s="2"/>
      <c r="Z30" s="6">
        <f t="shared" si="15"/>
        <v>-5.3751681382928795E-2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7">
        <v>7377.14</v>
      </c>
      <c r="E31" s="2"/>
      <c r="F31" s="6">
        <f t="shared" si="8"/>
        <v>0</v>
      </c>
      <c r="G31" s="2"/>
      <c r="H31" s="7">
        <v>7130.7692307692396</v>
      </c>
      <c r="I31" s="2"/>
      <c r="J31" s="6">
        <f t="shared" si="9"/>
        <v>0</v>
      </c>
      <c r="K31" s="2"/>
      <c r="L31" s="7">
        <f t="shared" si="10"/>
        <v>246.37076923076074</v>
      </c>
      <c r="M31" s="2"/>
      <c r="N31" s="6">
        <f t="shared" si="11"/>
        <v>3.4550377562026814E-2</v>
      </c>
      <c r="O31" s="11"/>
      <c r="P31" s="7">
        <v>26742.41</v>
      </c>
      <c r="Q31" s="2"/>
      <c r="R31" s="6">
        <f t="shared" si="12"/>
        <v>0</v>
      </c>
      <c r="S31" s="2"/>
      <c r="T31" s="7">
        <v>25670.769230769201</v>
      </c>
      <c r="U31" s="2"/>
      <c r="V31" s="6">
        <f t="shared" si="13"/>
        <v>0</v>
      </c>
      <c r="W31" s="2"/>
      <c r="X31" s="7">
        <f t="shared" si="14"/>
        <v>1071.6407692307985</v>
      </c>
      <c r="Y31" s="2"/>
      <c r="Z31" s="6">
        <f t="shared" si="15"/>
        <v>4.1745565144433644E-2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7">
        <v>603.79999999999995</v>
      </c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603.79999999999995</v>
      </c>
      <c r="M33" s="2"/>
      <c r="N33" s="6">
        <f t="shared" si="11"/>
        <v>0</v>
      </c>
      <c r="O33" s="11"/>
      <c r="P33" s="7">
        <v>916.3</v>
      </c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916.3</v>
      </c>
      <c r="Y33" s="2"/>
      <c r="Z33" s="6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>
        <v>1626.48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1626.48</v>
      </c>
      <c r="Y34" s="2"/>
      <c r="Z34" s="6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0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9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SUM(OSRRefD22_2x_0)</f>
        <v>242.7</v>
      </c>
      <c r="E40" s="1"/>
      <c r="F40" s="5">
        <f t="shared" ref="F40:F44" si="16">IF(D$12=0,0,D40/D$12)</f>
        <v>0</v>
      </c>
      <c r="G40" s="1"/>
      <c r="H40" s="1">
        <f>SUM(OSRRefH22_2x_0)</f>
        <v>839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-596.29999999999995</v>
      </c>
      <c r="M40" s="1"/>
      <c r="N40" s="5">
        <f t="shared" ref="N40:N44" si="19">IF(H40=0,0,L40/H40)</f>
        <v>-0.71072705601907027</v>
      </c>
      <c r="O40" s="14"/>
      <c r="P40" s="1">
        <f>SUM(OSRRefP22_2x_0)</f>
        <v>971.43</v>
      </c>
      <c r="Q40" s="1"/>
      <c r="R40" s="5">
        <f t="shared" ref="R40:R44" si="20">IF(P$12=0,0,P40/P$12)</f>
        <v>0</v>
      </c>
      <c r="S40" s="1"/>
      <c r="T40" s="1">
        <f>SUM(OSRRefT22_2x_0)</f>
        <v>3356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-2384.5700000000002</v>
      </c>
      <c r="Y40" s="1"/>
      <c r="Z40" s="5">
        <f t="shared" ref="Z40:Z44" si="23">IF(T40=0,0,X40/T40)</f>
        <v>-0.71053933253873669</v>
      </c>
    </row>
    <row r="41" spans="1:26" s="24" customFormat="1" hidden="1" outlineLevel="2" x14ac:dyDescent="0.25">
      <c r="A41" s="27"/>
      <c r="B41" s="11" t="str">
        <f>CONCATENATE("          ", "6381", " - ", "BANK/CREDIT CARD FEES")</f>
        <v xml:space="preserve">          6381 - BANK/CREDIT CARD FEES</v>
      </c>
      <c r="C41" s="11"/>
      <c r="D41" s="7">
        <v>242.7</v>
      </c>
      <c r="E41" s="2"/>
      <c r="F41" s="6">
        <f t="shared" si="16"/>
        <v>0</v>
      </c>
      <c r="G41" s="2"/>
      <c r="H41" s="7">
        <v>839</v>
      </c>
      <c r="I41" s="2"/>
      <c r="J41" s="6">
        <f t="shared" si="17"/>
        <v>0</v>
      </c>
      <c r="K41" s="2"/>
      <c r="L41" s="7">
        <f t="shared" si="18"/>
        <v>-596.29999999999995</v>
      </c>
      <c r="M41" s="2"/>
      <c r="N41" s="6">
        <f t="shared" si="19"/>
        <v>-0.71072705601907027</v>
      </c>
      <c r="O41" s="11"/>
      <c r="P41" s="7">
        <v>971.43</v>
      </c>
      <c r="Q41" s="2"/>
      <c r="R41" s="6">
        <f t="shared" si="20"/>
        <v>0</v>
      </c>
      <c r="S41" s="2"/>
      <c r="T41" s="7">
        <v>3356</v>
      </c>
      <c r="U41" s="2"/>
      <c r="V41" s="6">
        <f t="shared" si="21"/>
        <v>0</v>
      </c>
      <c r="W41" s="2"/>
      <c r="X41" s="7">
        <f t="shared" si="22"/>
        <v>-2384.5700000000002</v>
      </c>
      <c r="Y41" s="2"/>
      <c r="Z41" s="6">
        <f t="shared" si="23"/>
        <v>-0.71053933253873669</v>
      </c>
    </row>
    <row r="42" spans="1:26" s="28" customFormat="1" outlineLevel="1" collapsed="1" x14ac:dyDescent="0.25">
      <c r="A42" s="29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5331.53</v>
      </c>
      <c r="E42" s="1"/>
      <c r="F42" s="5">
        <f t="shared" si="16"/>
        <v>0</v>
      </c>
      <c r="G42" s="1"/>
      <c r="H42" s="1">
        <f>SUM(OSRRefH22_3x_0)</f>
        <v>5332</v>
      </c>
      <c r="I42" s="1"/>
      <c r="J42" s="5">
        <f t="shared" si="17"/>
        <v>0</v>
      </c>
      <c r="K42" s="1"/>
      <c r="L42" s="1">
        <f t="shared" si="18"/>
        <v>-0.47000000000025466</v>
      </c>
      <c r="M42" s="1"/>
      <c r="N42" s="5">
        <f t="shared" si="19"/>
        <v>-8.8147036759237562E-5</v>
      </c>
      <c r="O42" s="14"/>
      <c r="P42" s="1">
        <f>SUM(OSRRefP22_3x_0)</f>
        <v>21326.12</v>
      </c>
      <c r="Q42" s="1"/>
      <c r="R42" s="5">
        <f t="shared" si="20"/>
        <v>0</v>
      </c>
      <c r="S42" s="1"/>
      <c r="T42" s="1">
        <f>SUM(OSRRefT22_3x_0)</f>
        <v>21328</v>
      </c>
      <c r="U42" s="1"/>
      <c r="V42" s="5">
        <f t="shared" si="21"/>
        <v>0</v>
      </c>
      <c r="W42" s="1"/>
      <c r="X42" s="1">
        <f t="shared" si="22"/>
        <v>-1.8800000000010186</v>
      </c>
      <c r="Y42" s="1"/>
      <c r="Z42" s="5">
        <f t="shared" si="23"/>
        <v>-8.8147036759237562E-5</v>
      </c>
    </row>
    <row r="43" spans="1:26" s="24" customFormat="1" hidden="1" outlineLevel="2" x14ac:dyDescent="0.25">
      <c r="A43" s="27"/>
      <c r="B43" s="11" t="str">
        <f>CONCATENATE("          ", "6321", " - ", "BUILDING DEPRECIATION")</f>
        <v xml:space="preserve">          6321 - BUILDING DEPRECIATION</v>
      </c>
      <c r="C43" s="11"/>
      <c r="D43" s="7">
        <v>1822.68</v>
      </c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1822.68</v>
      </c>
      <c r="M43" s="2"/>
      <c r="N43" s="6">
        <f t="shared" si="19"/>
        <v>0</v>
      </c>
      <c r="O43" s="11"/>
      <c r="P43" s="7">
        <v>7290.72</v>
      </c>
      <c r="Q43" s="2"/>
      <c r="R43" s="6">
        <f t="shared" si="20"/>
        <v>0</v>
      </c>
      <c r="S43" s="2"/>
      <c r="T43" s="7"/>
      <c r="U43" s="2"/>
      <c r="V43" s="6">
        <f t="shared" si="21"/>
        <v>0</v>
      </c>
      <c r="W43" s="2"/>
      <c r="X43" s="7">
        <f t="shared" si="22"/>
        <v>7290.72</v>
      </c>
      <c r="Y43" s="2"/>
      <c r="Z43" s="6">
        <f t="shared" si="23"/>
        <v>0</v>
      </c>
    </row>
    <row r="44" spans="1:26" s="24" customFormat="1" hidden="1" outlineLevel="2" x14ac:dyDescent="0.25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3508.85</v>
      </c>
      <c r="E44" s="2"/>
      <c r="F44" s="6">
        <f t="shared" si="16"/>
        <v>0</v>
      </c>
      <c r="G44" s="2"/>
      <c r="H44" s="7">
        <v>5332</v>
      </c>
      <c r="I44" s="2"/>
      <c r="J44" s="6">
        <f t="shared" si="17"/>
        <v>0</v>
      </c>
      <c r="K44" s="2"/>
      <c r="L44" s="7">
        <f t="shared" si="18"/>
        <v>-1823.15</v>
      </c>
      <c r="M44" s="2"/>
      <c r="N44" s="6">
        <f t="shared" si="19"/>
        <v>-0.34192610652663169</v>
      </c>
      <c r="O44" s="11"/>
      <c r="P44" s="7">
        <v>14035.4</v>
      </c>
      <c r="Q44" s="2"/>
      <c r="R44" s="6">
        <f t="shared" si="20"/>
        <v>0</v>
      </c>
      <c r="S44" s="2"/>
      <c r="T44" s="7">
        <v>21328</v>
      </c>
      <c r="U44" s="2"/>
      <c r="V44" s="6">
        <f t="shared" si="21"/>
        <v>0</v>
      </c>
      <c r="W44" s="2"/>
      <c r="X44" s="7">
        <f t="shared" si="22"/>
        <v>-7292.6</v>
      </c>
      <c r="Y44" s="2"/>
      <c r="Z44" s="6">
        <f t="shared" si="23"/>
        <v>-0.34192610652663169</v>
      </c>
    </row>
    <row r="45" spans="1:26" s="28" customFormat="1" outlineLevel="1" collapsed="1" x14ac:dyDescent="0.25">
      <c r="A45" s="29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SUM(OSRRefD22_4x_0)</f>
        <v>0</v>
      </c>
      <c r="E45" s="1"/>
      <c r="F45" s="5">
        <f t="shared" ref="F45:F56" si="24">IF(D$12=0,0,D45/D$12)</f>
        <v>0</v>
      </c>
      <c r="G45" s="1"/>
      <c r="H45" s="1">
        <f>SUM(OSRRefH22_4x_0)</f>
        <v>0</v>
      </c>
      <c r="I45" s="1"/>
      <c r="J45" s="5">
        <f t="shared" ref="J45:J56" si="25">IF(H$12=0,0,H45/H$12)</f>
        <v>0</v>
      </c>
      <c r="K45" s="1"/>
      <c r="L45" s="1">
        <f t="shared" ref="L45:L56" si="26">+D45-H45</f>
        <v>0</v>
      </c>
      <c r="M45" s="1"/>
      <c r="N45" s="5">
        <f t="shared" ref="N45:N56" si="27">IF(H45=0,0,L45/H45)</f>
        <v>0</v>
      </c>
      <c r="O45" s="14"/>
      <c r="P45" s="1">
        <f>SUM(OSRRefP22_4x_0)</f>
        <v>18</v>
      </c>
      <c r="Q45" s="1"/>
      <c r="R45" s="5">
        <f t="shared" ref="R45:R56" si="28">IF(P$12=0,0,P45/P$12)</f>
        <v>0</v>
      </c>
      <c r="S45" s="1"/>
      <c r="T45" s="1">
        <f>SUM(OSRRefT22_4x_0)</f>
        <v>0</v>
      </c>
      <c r="U45" s="1"/>
      <c r="V45" s="5">
        <f t="shared" ref="V45:V56" si="29">IF(T$12=0,0,T45/T$12)</f>
        <v>0</v>
      </c>
      <c r="W45" s="1"/>
      <c r="X45" s="1">
        <f t="shared" ref="X45:X56" si="30">+P45-T45</f>
        <v>18</v>
      </c>
      <c r="Y45" s="1"/>
      <c r="Z45" s="5">
        <f t="shared" ref="Z45:Z56" si="31">IF(T45=0,0,X45/T45)</f>
        <v>0</v>
      </c>
    </row>
    <row r="46" spans="1:26" s="24" customFormat="1" hidden="1" outlineLevel="2" x14ac:dyDescent="0.25">
      <c r="A46" s="27"/>
      <c r="B46" s="11" t="str">
        <f>CONCATENATE("          ", "6277", " - ", "EMPLOYEE APPRECIATION")</f>
        <v xml:space="preserve">          6277 - EMPLOYEE APPRECIATION</v>
      </c>
      <c r="C46" s="11"/>
      <c r="D46" s="7"/>
      <c r="E46" s="2"/>
      <c r="F46" s="6">
        <f t="shared" si="24"/>
        <v>0</v>
      </c>
      <c r="G46" s="2"/>
      <c r="H46" s="7"/>
      <c r="I46" s="2"/>
      <c r="J46" s="6">
        <f t="shared" si="25"/>
        <v>0</v>
      </c>
      <c r="K46" s="2"/>
      <c r="L46" s="7">
        <f t="shared" si="26"/>
        <v>0</v>
      </c>
      <c r="M46" s="2"/>
      <c r="N46" s="6">
        <f t="shared" si="27"/>
        <v>0</v>
      </c>
      <c r="O46" s="11"/>
      <c r="P46" s="7">
        <v>18</v>
      </c>
      <c r="Q46" s="2"/>
      <c r="R46" s="6">
        <f t="shared" si="28"/>
        <v>0</v>
      </c>
      <c r="S46" s="2"/>
      <c r="T46" s="7"/>
      <c r="U46" s="2"/>
      <c r="V46" s="6">
        <f t="shared" si="29"/>
        <v>0</v>
      </c>
      <c r="W46" s="2"/>
      <c r="X46" s="7">
        <f t="shared" si="30"/>
        <v>18</v>
      </c>
      <c r="Y46" s="2"/>
      <c r="Z46" s="6">
        <f t="shared" si="31"/>
        <v>0</v>
      </c>
    </row>
    <row r="47" spans="1:26" s="28" customFormat="1" outlineLevel="1" collapsed="1" x14ac:dyDescent="0.25">
      <c r="A47" s="29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91.26</v>
      </c>
      <c r="E47" s="1"/>
      <c r="F47" s="5">
        <f t="shared" si="24"/>
        <v>0</v>
      </c>
      <c r="G47" s="1"/>
      <c r="H47" s="1">
        <f>SUM(OSRRefH22_5x_0)</f>
        <v>300</v>
      </c>
      <c r="I47" s="1"/>
      <c r="J47" s="5">
        <f t="shared" si="25"/>
        <v>0</v>
      </c>
      <c r="K47" s="1"/>
      <c r="L47" s="1">
        <f t="shared" si="26"/>
        <v>-208.74</v>
      </c>
      <c r="M47" s="1"/>
      <c r="N47" s="5">
        <f t="shared" si="27"/>
        <v>-0.69580000000000009</v>
      </c>
      <c r="O47" s="14"/>
      <c r="P47" s="1">
        <f>SUM(OSRRefP22_5x_0)</f>
        <v>365.04</v>
      </c>
      <c r="Q47" s="1"/>
      <c r="R47" s="5">
        <f t="shared" si="28"/>
        <v>0</v>
      </c>
      <c r="S47" s="1"/>
      <c r="T47" s="1">
        <f>SUM(OSRRefT22_5x_0)</f>
        <v>1200</v>
      </c>
      <c r="U47" s="1"/>
      <c r="V47" s="5">
        <f t="shared" si="29"/>
        <v>0</v>
      </c>
      <c r="W47" s="1"/>
      <c r="X47" s="1">
        <f t="shared" si="30"/>
        <v>-834.96</v>
      </c>
      <c r="Y47" s="1"/>
      <c r="Z47" s="5">
        <f t="shared" si="31"/>
        <v>-0.69580000000000009</v>
      </c>
    </row>
    <row r="48" spans="1:26" s="24" customFormat="1" hidden="1" outlineLevel="2" x14ac:dyDescent="0.25">
      <c r="A48" s="27"/>
      <c r="B48" s="11" t="str">
        <f>CONCATENATE("          ", "6351", " - ", "EQUIPMENT RENTAL")</f>
        <v xml:space="preserve">          6351 - EQUIPMENT RENTAL</v>
      </c>
      <c r="C48" s="11"/>
      <c r="D48" s="7">
        <v>91.26</v>
      </c>
      <c r="E48" s="2"/>
      <c r="F48" s="6">
        <f t="shared" si="24"/>
        <v>0</v>
      </c>
      <c r="G48" s="2"/>
      <c r="H48" s="7">
        <v>300</v>
      </c>
      <c r="I48" s="2"/>
      <c r="J48" s="6">
        <f t="shared" si="25"/>
        <v>0</v>
      </c>
      <c r="K48" s="2"/>
      <c r="L48" s="7">
        <f t="shared" si="26"/>
        <v>-208.74</v>
      </c>
      <c r="M48" s="2"/>
      <c r="N48" s="6">
        <f t="shared" si="27"/>
        <v>-0.69580000000000009</v>
      </c>
      <c r="O48" s="11"/>
      <c r="P48" s="7">
        <v>365.04</v>
      </c>
      <c r="Q48" s="2"/>
      <c r="R48" s="6">
        <f t="shared" si="28"/>
        <v>0</v>
      </c>
      <c r="S48" s="2"/>
      <c r="T48" s="7">
        <v>1200</v>
      </c>
      <c r="U48" s="2"/>
      <c r="V48" s="6">
        <f t="shared" si="29"/>
        <v>0</v>
      </c>
      <c r="W48" s="2"/>
      <c r="X48" s="7">
        <f t="shared" si="30"/>
        <v>-834.96</v>
      </c>
      <c r="Y48" s="2"/>
      <c r="Z48" s="6">
        <f t="shared" si="31"/>
        <v>-0.69580000000000009</v>
      </c>
    </row>
    <row r="49" spans="1:26" s="28" customFormat="1" outlineLevel="1" collapsed="1" x14ac:dyDescent="0.25">
      <c r="A49" s="29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4"/>
      <c r="P49" s="1">
        <f>SUM(OSRRefP22_6x_0)</f>
        <v>122.51</v>
      </c>
      <c r="Q49" s="1"/>
      <c r="R49" s="5">
        <f t="shared" si="28"/>
        <v>0</v>
      </c>
      <c r="S49" s="1"/>
      <c r="T49" s="1">
        <f>SUM(OSRRefT22_6x_0)</f>
        <v>500</v>
      </c>
      <c r="U49" s="1"/>
      <c r="V49" s="5">
        <f t="shared" si="29"/>
        <v>0</v>
      </c>
      <c r="W49" s="1"/>
      <c r="X49" s="1">
        <f t="shared" si="30"/>
        <v>-377.49</v>
      </c>
      <c r="Y49" s="1"/>
      <c r="Z49" s="5">
        <f t="shared" si="31"/>
        <v>-0.75497999999999998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122.51</v>
      </c>
      <c r="Q50" s="2"/>
      <c r="R50" s="6">
        <f t="shared" si="28"/>
        <v>0</v>
      </c>
      <c r="S50" s="2"/>
      <c r="T50" s="7">
        <v>500</v>
      </c>
      <c r="U50" s="2"/>
      <c r="V50" s="6">
        <f t="shared" si="29"/>
        <v>0</v>
      </c>
      <c r="W50" s="2"/>
      <c r="X50" s="7">
        <f t="shared" si="30"/>
        <v>-377.49</v>
      </c>
      <c r="Y50" s="2"/>
      <c r="Z50" s="6">
        <f t="shared" si="31"/>
        <v>-0.75497999999999998</v>
      </c>
    </row>
    <row r="51" spans="1:26" s="28" customFormat="1" outlineLevel="1" collapsed="1" x14ac:dyDescent="0.25">
      <c r="A51" s="29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11767.6</v>
      </c>
      <c r="E51" s="1"/>
      <c r="F51" s="5">
        <f t="shared" si="24"/>
        <v>0</v>
      </c>
      <c r="G51" s="1"/>
      <c r="H51" s="1">
        <f>SUM(OSRRefH22_7x_0)</f>
        <v>4820</v>
      </c>
      <c r="I51" s="1"/>
      <c r="J51" s="5">
        <f t="shared" si="25"/>
        <v>0</v>
      </c>
      <c r="K51" s="1"/>
      <c r="L51" s="1">
        <f t="shared" si="26"/>
        <v>6947.6</v>
      </c>
      <c r="M51" s="1"/>
      <c r="N51" s="5">
        <f t="shared" si="27"/>
        <v>1.4414107883817429</v>
      </c>
      <c r="O51" s="14"/>
      <c r="P51" s="1">
        <f>SUM(OSRRefP22_7x_0)</f>
        <v>26421.4</v>
      </c>
      <c r="Q51" s="1"/>
      <c r="R51" s="5">
        <f t="shared" si="28"/>
        <v>0</v>
      </c>
      <c r="S51" s="1"/>
      <c r="T51" s="1">
        <f>SUM(OSRRefT22_7x_0)</f>
        <v>19280</v>
      </c>
      <c r="U51" s="1"/>
      <c r="V51" s="5">
        <f t="shared" si="29"/>
        <v>0</v>
      </c>
      <c r="W51" s="1"/>
      <c r="X51" s="1">
        <f t="shared" si="30"/>
        <v>7141.4000000000015</v>
      </c>
      <c r="Y51" s="1"/>
      <c r="Z51" s="5">
        <f t="shared" si="31"/>
        <v>0.37040456431535279</v>
      </c>
    </row>
    <row r="52" spans="1:26" s="24" customFormat="1" hidden="1" outlineLevel="2" x14ac:dyDescent="0.25">
      <c r="A52" s="27"/>
      <c r="B52" s="11" t="str">
        <f>CONCATENATE("          ", "6314", " - ", "LIABILITY INSURANCE")</f>
        <v xml:space="preserve">          6314 - LIABILITY INSURANCE</v>
      </c>
      <c r="C52" s="11"/>
      <c r="D52" s="7">
        <v>11767.6</v>
      </c>
      <c r="E52" s="2"/>
      <c r="F52" s="6">
        <f t="shared" si="24"/>
        <v>0</v>
      </c>
      <c r="G52" s="2"/>
      <c r="H52" s="7">
        <v>4820</v>
      </c>
      <c r="I52" s="2"/>
      <c r="J52" s="6">
        <f t="shared" si="25"/>
        <v>0</v>
      </c>
      <c r="K52" s="2"/>
      <c r="L52" s="7">
        <f t="shared" si="26"/>
        <v>6947.6</v>
      </c>
      <c r="M52" s="2"/>
      <c r="N52" s="6">
        <f t="shared" si="27"/>
        <v>1.4414107883817429</v>
      </c>
      <c r="O52" s="11"/>
      <c r="P52" s="7">
        <v>26421.4</v>
      </c>
      <c r="Q52" s="2"/>
      <c r="R52" s="6">
        <f t="shared" si="28"/>
        <v>0</v>
      </c>
      <c r="S52" s="2"/>
      <c r="T52" s="7">
        <v>19280</v>
      </c>
      <c r="U52" s="2"/>
      <c r="V52" s="6">
        <f t="shared" si="29"/>
        <v>0</v>
      </c>
      <c r="W52" s="2"/>
      <c r="X52" s="7">
        <f t="shared" si="30"/>
        <v>7141.4000000000015</v>
      </c>
      <c r="Y52" s="2"/>
      <c r="Z52" s="6">
        <f t="shared" si="31"/>
        <v>0.37040456431535279</v>
      </c>
    </row>
    <row r="53" spans="1:26" s="28" customFormat="1" outlineLevel="1" collapsed="1" x14ac:dyDescent="0.25">
      <c r="A53" s="29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SUM(OSRRefD22_8x_0)</f>
        <v>1442.53</v>
      </c>
      <c r="E53" s="1"/>
      <c r="F53" s="5">
        <f t="shared" si="24"/>
        <v>0</v>
      </c>
      <c r="G53" s="1"/>
      <c r="H53" s="1">
        <f>SUM(OSRRefH22_8x_0)</f>
        <v>0</v>
      </c>
      <c r="I53" s="1"/>
      <c r="J53" s="5">
        <f t="shared" si="25"/>
        <v>0</v>
      </c>
      <c r="K53" s="1"/>
      <c r="L53" s="1">
        <f t="shared" si="26"/>
        <v>1442.53</v>
      </c>
      <c r="M53" s="1"/>
      <c r="N53" s="5">
        <f t="shared" si="27"/>
        <v>0</v>
      </c>
      <c r="O53" s="14"/>
      <c r="P53" s="1">
        <f>SUM(OSRRefP22_8x_0)</f>
        <v>14462.21</v>
      </c>
      <c r="Q53" s="1"/>
      <c r="R53" s="5">
        <f t="shared" si="28"/>
        <v>0</v>
      </c>
      <c r="S53" s="1"/>
      <c r="T53" s="1">
        <f>SUM(OSRRefT22_8x_0)</f>
        <v>0</v>
      </c>
      <c r="U53" s="1"/>
      <c r="V53" s="5">
        <f t="shared" si="29"/>
        <v>0</v>
      </c>
      <c r="W53" s="1"/>
      <c r="X53" s="1">
        <f t="shared" si="30"/>
        <v>14462.21</v>
      </c>
      <c r="Y53" s="1"/>
      <c r="Z53" s="5">
        <f t="shared" si="31"/>
        <v>0</v>
      </c>
    </row>
    <row r="54" spans="1:26" s="24" customFormat="1" hidden="1" outlineLevel="2" x14ac:dyDescent="0.25">
      <c r="A54" s="27"/>
      <c r="B54" s="11" t="str">
        <f>CONCATENATE("          ", "6371", " - ", "COMPUTER SOFTWARE MAINTENANCE")</f>
        <v xml:space="preserve">          6371 - COMPUTER SOFTWARE MAINTENANCE</v>
      </c>
      <c r="C54" s="11"/>
      <c r="D54" s="7">
        <v>159.68</v>
      </c>
      <c r="E54" s="2"/>
      <c r="F54" s="6">
        <f t="shared" si="24"/>
        <v>0</v>
      </c>
      <c r="G54" s="2"/>
      <c r="H54" s="7"/>
      <c r="I54" s="2"/>
      <c r="J54" s="6">
        <f t="shared" si="25"/>
        <v>0</v>
      </c>
      <c r="K54" s="2"/>
      <c r="L54" s="7">
        <f t="shared" si="26"/>
        <v>159.68</v>
      </c>
      <c r="M54" s="2"/>
      <c r="N54" s="6">
        <f t="shared" si="27"/>
        <v>0</v>
      </c>
      <c r="O54" s="11"/>
      <c r="P54" s="7">
        <v>5337.4</v>
      </c>
      <c r="Q54" s="2"/>
      <c r="R54" s="6">
        <f t="shared" si="28"/>
        <v>0</v>
      </c>
      <c r="S54" s="2"/>
      <c r="T54" s="7"/>
      <c r="U54" s="2"/>
      <c r="V54" s="6">
        <f t="shared" si="29"/>
        <v>0</v>
      </c>
      <c r="W54" s="2"/>
      <c r="X54" s="7">
        <f t="shared" si="30"/>
        <v>5337.4</v>
      </c>
      <c r="Y54" s="2"/>
      <c r="Z54" s="6">
        <f t="shared" si="31"/>
        <v>0</v>
      </c>
    </row>
    <row r="55" spans="1:26" s="24" customFormat="1" hidden="1" outlineLevel="2" x14ac:dyDescent="0.25">
      <c r="A55" s="27"/>
      <c r="B55" s="11" t="str">
        <f>CONCATENATE("          ", "6373", " - ", "MAINTENANCE CONTRACTS")</f>
        <v xml:space="preserve">          6373 - MAINTENANCE CONTRACTS</v>
      </c>
      <c r="C55" s="11"/>
      <c r="D55" s="7">
        <v>1282.8499999999999</v>
      </c>
      <c r="E55" s="2"/>
      <c r="F55" s="6">
        <f t="shared" si="24"/>
        <v>0</v>
      </c>
      <c r="G55" s="2"/>
      <c r="H55" s="7"/>
      <c r="I55" s="2"/>
      <c r="J55" s="6">
        <f t="shared" si="25"/>
        <v>0</v>
      </c>
      <c r="K55" s="2"/>
      <c r="L55" s="7">
        <f t="shared" si="26"/>
        <v>1282.8499999999999</v>
      </c>
      <c r="M55" s="2"/>
      <c r="N55" s="6">
        <f t="shared" si="27"/>
        <v>0</v>
      </c>
      <c r="O55" s="11"/>
      <c r="P55" s="7">
        <v>1367.55</v>
      </c>
      <c r="Q55" s="2"/>
      <c r="R55" s="6">
        <f t="shared" si="28"/>
        <v>0</v>
      </c>
      <c r="S55" s="2"/>
      <c r="T55" s="7"/>
      <c r="U55" s="2"/>
      <c r="V55" s="6">
        <f t="shared" si="29"/>
        <v>0</v>
      </c>
      <c r="W55" s="2"/>
      <c r="X55" s="7">
        <f t="shared" si="30"/>
        <v>1367.55</v>
      </c>
      <c r="Y55" s="2"/>
      <c r="Z55" s="6">
        <f t="shared" si="31"/>
        <v>0</v>
      </c>
    </row>
    <row r="56" spans="1:26" s="24" customFormat="1" hidden="1" outlineLevel="2" x14ac:dyDescent="0.25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0</v>
      </c>
      <c r="M56" s="2"/>
      <c r="N56" s="6">
        <f t="shared" si="27"/>
        <v>0</v>
      </c>
      <c r="O56" s="11"/>
      <c r="P56" s="7">
        <v>7757.26</v>
      </c>
      <c r="Q56" s="2"/>
      <c r="R56" s="6">
        <f t="shared" si="28"/>
        <v>0</v>
      </c>
      <c r="S56" s="2"/>
      <c r="T56" s="7"/>
      <c r="U56" s="2"/>
      <c r="V56" s="6">
        <f t="shared" si="29"/>
        <v>0</v>
      </c>
      <c r="W56" s="2"/>
      <c r="X56" s="7">
        <f t="shared" si="30"/>
        <v>7757.26</v>
      </c>
      <c r="Y56" s="2"/>
      <c r="Z56" s="6">
        <f t="shared" si="31"/>
        <v>0</v>
      </c>
    </row>
    <row r="57" spans="1:26" s="28" customFormat="1" outlineLevel="1" collapsed="1" x14ac:dyDescent="0.25">
      <c r="A57" s="29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SUM(OSRRefD22_9x_0)</f>
        <v>670.1</v>
      </c>
      <c r="E57" s="1"/>
      <c r="F57" s="5">
        <f t="shared" ref="F57:F60" si="32">IF(D$12=0,0,D57/D$12)</f>
        <v>0</v>
      </c>
      <c r="G57" s="1"/>
      <c r="H57" s="1">
        <f>SUM(OSRRefH22_9x_0)</f>
        <v>1525</v>
      </c>
      <c r="I57" s="1"/>
      <c r="J57" s="5">
        <f t="shared" ref="J57:J60" si="33">IF(H$12=0,0,H57/H$12)</f>
        <v>0</v>
      </c>
      <c r="K57" s="1"/>
      <c r="L57" s="1">
        <f t="shared" ref="L57:L60" si="34">+D57-H57</f>
        <v>-854.9</v>
      </c>
      <c r="M57" s="1"/>
      <c r="N57" s="5">
        <f t="shared" ref="N57:N60" si="35">IF(H57=0,0,L57/H57)</f>
        <v>-0.56059016393442618</v>
      </c>
      <c r="O57" s="14"/>
      <c r="P57" s="1">
        <f>SUM(OSRRefP22_9x_0)</f>
        <v>6354.72</v>
      </c>
      <c r="Q57" s="1"/>
      <c r="R57" s="5">
        <f t="shared" ref="R57:R60" si="36">IF(P$12=0,0,P57/P$12)</f>
        <v>0</v>
      </c>
      <c r="S57" s="1"/>
      <c r="T57" s="1">
        <f>SUM(OSRRefT22_9x_0)</f>
        <v>3475</v>
      </c>
      <c r="U57" s="1"/>
      <c r="V57" s="5">
        <f t="shared" ref="V57:V60" si="37">IF(T$12=0,0,T57/T$12)</f>
        <v>0</v>
      </c>
      <c r="W57" s="1"/>
      <c r="X57" s="1">
        <f t="shared" ref="X57:X60" si="38">+P57-T57</f>
        <v>2879.7200000000003</v>
      </c>
      <c r="Y57" s="1"/>
      <c r="Z57" s="5">
        <f t="shared" ref="Z57:Z60" si="39">IF(T57=0,0,X57/T57)</f>
        <v>0.82869640287769797</v>
      </c>
    </row>
    <row r="58" spans="1:26" s="24" customFormat="1" hidden="1" outlineLevel="2" x14ac:dyDescent="0.25">
      <c r="A58" s="27"/>
      <c r="B58" s="11" t="str">
        <f>CONCATENATE("          ", "6282", " - ", "JANITORIAL/EXTERMINATOR EXPENS")</f>
        <v xml:space="preserve">          6282 - JANITORIAL/EXTERMINATOR EXPENS</v>
      </c>
      <c r="C58" s="11"/>
      <c r="D58" s="7">
        <v>670.1</v>
      </c>
      <c r="E58" s="2"/>
      <c r="F58" s="6">
        <f t="shared" si="32"/>
        <v>0</v>
      </c>
      <c r="G58" s="2"/>
      <c r="H58" s="7">
        <v>650</v>
      </c>
      <c r="I58" s="2"/>
      <c r="J58" s="6">
        <f t="shared" si="33"/>
        <v>0</v>
      </c>
      <c r="K58" s="2"/>
      <c r="L58" s="7">
        <f t="shared" si="34"/>
        <v>20.100000000000023</v>
      </c>
      <c r="M58" s="2"/>
      <c r="N58" s="6">
        <f t="shared" si="35"/>
        <v>3.0923076923076959E-2</v>
      </c>
      <c r="O58" s="11"/>
      <c r="P58" s="7">
        <v>2680.4</v>
      </c>
      <c r="Q58" s="2"/>
      <c r="R58" s="6">
        <f t="shared" si="36"/>
        <v>0</v>
      </c>
      <c r="S58" s="2"/>
      <c r="T58" s="7">
        <v>2600</v>
      </c>
      <c r="U58" s="2"/>
      <c r="V58" s="6">
        <f t="shared" si="37"/>
        <v>0</v>
      </c>
      <c r="W58" s="2"/>
      <c r="X58" s="7">
        <f t="shared" si="38"/>
        <v>80.400000000000091</v>
      </c>
      <c r="Y58" s="2"/>
      <c r="Z58" s="6">
        <f t="shared" si="39"/>
        <v>3.0923076923076959E-2</v>
      </c>
    </row>
    <row r="59" spans="1:26" s="24" customFormat="1" hidden="1" outlineLevel="2" x14ac:dyDescent="0.25">
      <c r="A59" s="27"/>
      <c r="B59" s="11" t="str">
        <f>CONCATENATE("          ", "6284", " - ", "TRASH REMOVAL EXPENSE")</f>
        <v xml:space="preserve">          6284 - TRASH REMOVAL EXPENSE</v>
      </c>
      <c r="C59" s="11"/>
      <c r="D59" s="7"/>
      <c r="E59" s="2"/>
      <c r="F59" s="6">
        <f t="shared" si="32"/>
        <v>0</v>
      </c>
      <c r="G59" s="2"/>
      <c r="H59" s="7"/>
      <c r="I59" s="2"/>
      <c r="J59" s="6">
        <f t="shared" si="33"/>
        <v>0</v>
      </c>
      <c r="K59" s="2"/>
      <c r="L59" s="7">
        <f t="shared" si="34"/>
        <v>0</v>
      </c>
      <c r="M59" s="2"/>
      <c r="N59" s="6">
        <f t="shared" si="35"/>
        <v>0</v>
      </c>
      <c r="O59" s="11"/>
      <c r="P59" s="7"/>
      <c r="Q59" s="2"/>
      <c r="R59" s="6">
        <f t="shared" si="36"/>
        <v>0</v>
      </c>
      <c r="S59" s="2"/>
      <c r="T59" s="7">
        <v>0</v>
      </c>
      <c r="U59" s="2"/>
      <c r="V59" s="6">
        <f t="shared" si="37"/>
        <v>0</v>
      </c>
      <c r="W59" s="2"/>
      <c r="X59" s="7">
        <f t="shared" si="38"/>
        <v>0</v>
      </c>
      <c r="Y59" s="2"/>
      <c r="Z59" s="6">
        <f t="shared" si="39"/>
        <v>0</v>
      </c>
    </row>
    <row r="60" spans="1:26" s="24" customFormat="1" hidden="1" outlineLevel="2" x14ac:dyDescent="0.25">
      <c r="A60" s="27"/>
      <c r="B60" s="11" t="str">
        <f>CONCATENATE("          ", "6285", " - ", "JANITORIAL SERVICES")</f>
        <v xml:space="preserve">          6285 - JANITORIAL SERVICES</v>
      </c>
      <c r="C60" s="11"/>
      <c r="D60" s="7"/>
      <c r="E60" s="2"/>
      <c r="F60" s="6">
        <f t="shared" si="32"/>
        <v>0</v>
      </c>
      <c r="G60" s="2"/>
      <c r="H60" s="7">
        <v>875</v>
      </c>
      <c r="I60" s="2"/>
      <c r="J60" s="6">
        <f t="shared" si="33"/>
        <v>0</v>
      </c>
      <c r="K60" s="2"/>
      <c r="L60" s="7">
        <f t="shared" si="34"/>
        <v>-875</v>
      </c>
      <c r="M60" s="2"/>
      <c r="N60" s="6">
        <f t="shared" si="35"/>
        <v>-1</v>
      </c>
      <c r="O60" s="11"/>
      <c r="P60" s="7">
        <v>3674.32</v>
      </c>
      <c r="Q60" s="2"/>
      <c r="R60" s="6">
        <f t="shared" si="36"/>
        <v>0</v>
      </c>
      <c r="S60" s="2"/>
      <c r="T60" s="7">
        <v>875</v>
      </c>
      <c r="U60" s="2"/>
      <c r="V60" s="6">
        <f t="shared" si="37"/>
        <v>0</v>
      </c>
      <c r="W60" s="2"/>
      <c r="X60" s="7">
        <f t="shared" si="38"/>
        <v>2799.32</v>
      </c>
      <c r="Y60" s="2"/>
      <c r="Z60" s="6">
        <f t="shared" si="39"/>
        <v>3.1992228571428574</v>
      </c>
    </row>
    <row r="61" spans="1:26" s="28" customFormat="1" outlineLevel="1" collapsed="1" x14ac:dyDescent="0.25">
      <c r="A61" s="29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SUM(OSRRefD22_10x_0)</f>
        <v>0</v>
      </c>
      <c r="E61" s="1"/>
      <c r="F61" s="5">
        <f t="shared" ref="F61:F68" si="40">IF(D$12=0,0,D61/D$12)</f>
        <v>0</v>
      </c>
      <c r="G61" s="1"/>
      <c r="H61" s="1">
        <f>SUM(OSRRefH22_10x_0)</f>
        <v>0</v>
      </c>
      <c r="I61" s="1"/>
      <c r="J61" s="5">
        <f t="shared" ref="J61:J68" si="41">IF(H$12=0,0,H61/H$12)</f>
        <v>0</v>
      </c>
      <c r="K61" s="1"/>
      <c r="L61" s="1">
        <f t="shared" ref="L61:L68" si="42">+D61-H61</f>
        <v>0</v>
      </c>
      <c r="M61" s="1"/>
      <c r="N61" s="5">
        <f t="shared" ref="N61:N68" si="43">IF(H61=0,0,L61/H61)</f>
        <v>0</v>
      </c>
      <c r="O61" s="14"/>
      <c r="P61" s="1">
        <f>SUM(OSRRefP22_10x_0)</f>
        <v>160.16</v>
      </c>
      <c r="Q61" s="1"/>
      <c r="R61" s="5">
        <f t="shared" ref="R61:R68" si="44">IF(P$12=0,0,P61/P$12)</f>
        <v>0</v>
      </c>
      <c r="S61" s="1"/>
      <c r="T61" s="1">
        <f>SUM(OSRRefT22_10x_0)</f>
        <v>0</v>
      </c>
      <c r="U61" s="1"/>
      <c r="V61" s="5">
        <f t="shared" ref="V61:V68" si="45">IF(T$12=0,0,T61/T$12)</f>
        <v>0</v>
      </c>
      <c r="W61" s="1"/>
      <c r="X61" s="1">
        <f t="shared" ref="X61:X68" si="46">+P61-T61</f>
        <v>160.16</v>
      </c>
      <c r="Y61" s="1"/>
      <c r="Z61" s="5">
        <f t="shared" ref="Z61:Z68" si="47">IF(T61=0,0,X61/T61)</f>
        <v>0</v>
      </c>
    </row>
    <row r="62" spans="1:26" s="24" customFormat="1" hidden="1" outlineLevel="2" x14ac:dyDescent="0.25">
      <c r="A62" s="27"/>
      <c r="B62" s="11" t="str">
        <f>CONCATENATE("          ", "6241", " - ", "OFFICE EXPENSE")</f>
        <v xml:space="preserve">          6241 - OFFICE EXPENSE</v>
      </c>
      <c r="C62" s="11"/>
      <c r="D62" s="7"/>
      <c r="E62" s="2"/>
      <c r="F62" s="6">
        <f t="shared" si="40"/>
        <v>0</v>
      </c>
      <c r="G62" s="2"/>
      <c r="H62" s="7"/>
      <c r="I62" s="2"/>
      <c r="J62" s="6">
        <f t="shared" si="41"/>
        <v>0</v>
      </c>
      <c r="K62" s="2"/>
      <c r="L62" s="7">
        <f t="shared" si="42"/>
        <v>0</v>
      </c>
      <c r="M62" s="2"/>
      <c r="N62" s="6">
        <f t="shared" si="43"/>
        <v>0</v>
      </c>
      <c r="O62" s="11"/>
      <c r="P62" s="7">
        <v>160.16</v>
      </c>
      <c r="Q62" s="2"/>
      <c r="R62" s="6">
        <f t="shared" si="44"/>
        <v>0</v>
      </c>
      <c r="S62" s="2"/>
      <c r="T62" s="7"/>
      <c r="U62" s="2"/>
      <c r="V62" s="6">
        <f t="shared" si="45"/>
        <v>0</v>
      </c>
      <c r="W62" s="2"/>
      <c r="X62" s="7">
        <f t="shared" si="46"/>
        <v>160.16</v>
      </c>
      <c r="Y62" s="2"/>
      <c r="Z62" s="6">
        <f t="shared" si="47"/>
        <v>0</v>
      </c>
    </row>
    <row r="63" spans="1:26" s="28" customFormat="1" outlineLevel="1" collapsed="1" x14ac:dyDescent="0.25">
      <c r="A63" s="29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SUM(OSRRefD22_11x_0)</f>
        <v>363.36</v>
      </c>
      <c r="E63" s="1"/>
      <c r="F63" s="5">
        <f t="shared" si="40"/>
        <v>0</v>
      </c>
      <c r="G63" s="1"/>
      <c r="H63" s="1">
        <f>SUM(OSRRefH22_11x_0)</f>
        <v>0</v>
      </c>
      <c r="I63" s="1"/>
      <c r="J63" s="5">
        <f t="shared" si="41"/>
        <v>0</v>
      </c>
      <c r="K63" s="1"/>
      <c r="L63" s="1">
        <f t="shared" si="42"/>
        <v>363.36</v>
      </c>
      <c r="M63" s="1"/>
      <c r="N63" s="5">
        <f t="shared" si="43"/>
        <v>0</v>
      </c>
      <c r="O63" s="14"/>
      <c r="P63" s="1">
        <f>SUM(OSRRefP22_11x_0)</f>
        <v>940.31</v>
      </c>
      <c r="Q63" s="1"/>
      <c r="R63" s="5">
        <f t="shared" si="44"/>
        <v>0</v>
      </c>
      <c r="S63" s="1"/>
      <c r="T63" s="1">
        <f>SUM(OSRRefT22_11x_0)</f>
        <v>0</v>
      </c>
      <c r="U63" s="1"/>
      <c r="V63" s="5">
        <f t="shared" si="45"/>
        <v>0</v>
      </c>
      <c r="W63" s="1"/>
      <c r="X63" s="1">
        <f t="shared" si="46"/>
        <v>940.31</v>
      </c>
      <c r="Y63" s="1"/>
      <c r="Z63" s="5">
        <f t="shared" si="47"/>
        <v>0</v>
      </c>
    </row>
    <row r="64" spans="1:26" s="24" customFormat="1" hidden="1" outlineLevel="2" x14ac:dyDescent="0.25">
      <c r="A64" s="27"/>
      <c r="B64" s="11" t="str">
        <f>CONCATENATE("          ", "6309", " - ", "TELEPHONE")</f>
        <v xml:space="preserve">          6309 - TELEPHONE</v>
      </c>
      <c r="C64" s="11"/>
      <c r="D64" s="7">
        <v>363.36</v>
      </c>
      <c r="E64" s="2"/>
      <c r="F64" s="6">
        <f t="shared" si="40"/>
        <v>0</v>
      </c>
      <c r="G64" s="2"/>
      <c r="H64" s="7"/>
      <c r="I64" s="2"/>
      <c r="J64" s="6">
        <f t="shared" si="41"/>
        <v>0</v>
      </c>
      <c r="K64" s="2"/>
      <c r="L64" s="7">
        <f t="shared" si="42"/>
        <v>363.36</v>
      </c>
      <c r="M64" s="2"/>
      <c r="N64" s="6">
        <f t="shared" si="43"/>
        <v>0</v>
      </c>
      <c r="O64" s="11"/>
      <c r="P64" s="7">
        <v>940.31</v>
      </c>
      <c r="Q64" s="2"/>
      <c r="R64" s="6">
        <f t="shared" si="44"/>
        <v>0</v>
      </c>
      <c r="S64" s="2"/>
      <c r="T64" s="7"/>
      <c r="U64" s="2"/>
      <c r="V64" s="6">
        <f t="shared" si="45"/>
        <v>0</v>
      </c>
      <c r="W64" s="2"/>
      <c r="X64" s="7">
        <f t="shared" si="46"/>
        <v>940.31</v>
      </c>
      <c r="Y64" s="2"/>
      <c r="Z64" s="6">
        <f t="shared" si="47"/>
        <v>0</v>
      </c>
    </row>
    <row r="65" spans="1:26" s="28" customFormat="1" outlineLevel="1" collapsed="1" x14ac:dyDescent="0.25">
      <c r="A65" s="29"/>
      <c r="B65" s="14" t="str">
        <f>CONCATENATE("     ","Training                                          ")</f>
        <v xml:space="preserve">     Training                                          </v>
      </c>
      <c r="C65" s="14"/>
      <c r="D65" s="1">
        <f>SUM(OSRRefD22_12x_0)</f>
        <v>0</v>
      </c>
      <c r="E65" s="1"/>
      <c r="F65" s="5">
        <f t="shared" si="40"/>
        <v>0</v>
      </c>
      <c r="G65" s="1"/>
      <c r="H65" s="1">
        <f>SUM(OSRRefH22_12x_0)</f>
        <v>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4"/>
      <c r="P65" s="1">
        <f>SUM(OSRRefP22_12x_0)</f>
        <v>0</v>
      </c>
      <c r="Q65" s="1"/>
      <c r="R65" s="5">
        <f t="shared" si="44"/>
        <v>0</v>
      </c>
      <c r="S65" s="1"/>
      <c r="T65" s="1">
        <f>SUM(OSRRefT22_12x_0)</f>
        <v>0</v>
      </c>
      <c r="U65" s="1"/>
      <c r="V65" s="5">
        <f t="shared" si="45"/>
        <v>0</v>
      </c>
      <c r="W65" s="1"/>
      <c r="X65" s="1">
        <f t="shared" si="46"/>
        <v>0</v>
      </c>
      <c r="Y65" s="1"/>
      <c r="Z65" s="5">
        <f t="shared" si="47"/>
        <v>0</v>
      </c>
    </row>
    <row r="66" spans="1:26" s="24" customFormat="1" hidden="1" outlineLevel="2" x14ac:dyDescent="0.25">
      <c r="A66" s="27"/>
      <c r="B66" s="11" t="str">
        <f>CONCATENATE("          ", "6376", " - ", "TRAINING")</f>
        <v xml:space="preserve">          6376 - TRAINING</v>
      </c>
      <c r="C66" s="11"/>
      <c r="D66" s="7"/>
      <c r="E66" s="2"/>
      <c r="F66" s="6">
        <f t="shared" si="40"/>
        <v>0</v>
      </c>
      <c r="G66" s="2"/>
      <c r="H66" s="7"/>
      <c r="I66" s="2"/>
      <c r="J66" s="6">
        <f t="shared" si="41"/>
        <v>0</v>
      </c>
      <c r="K66" s="2"/>
      <c r="L66" s="7">
        <f t="shared" si="42"/>
        <v>0</v>
      </c>
      <c r="M66" s="2"/>
      <c r="N66" s="6">
        <f t="shared" si="43"/>
        <v>0</v>
      </c>
      <c r="O66" s="11"/>
      <c r="P66" s="7"/>
      <c r="Q66" s="2"/>
      <c r="R66" s="6">
        <f t="shared" si="44"/>
        <v>0</v>
      </c>
      <c r="S66" s="2"/>
      <c r="T66" s="7">
        <v>0</v>
      </c>
      <c r="U66" s="2"/>
      <c r="V66" s="6">
        <f t="shared" si="45"/>
        <v>0</v>
      </c>
      <c r="W66" s="2"/>
      <c r="X66" s="7">
        <f t="shared" si="46"/>
        <v>0</v>
      </c>
      <c r="Y66" s="2"/>
      <c r="Z66" s="6">
        <f t="shared" si="47"/>
        <v>0</v>
      </c>
    </row>
    <row r="67" spans="1:26" s="28" customFormat="1" outlineLevel="1" collapsed="1" x14ac:dyDescent="0.25">
      <c r="A67" s="29"/>
      <c r="B67" s="14" t="str">
        <f>CONCATENATE("     ","Utilities                                         ")</f>
        <v xml:space="preserve">     Utilities                                         </v>
      </c>
      <c r="C67" s="14"/>
      <c r="D67" s="1">
        <f>SUM(OSRRefD22_13x_0)</f>
        <v>5550</v>
      </c>
      <c r="E67" s="1"/>
      <c r="F67" s="5">
        <f t="shared" si="40"/>
        <v>0</v>
      </c>
      <c r="G67" s="1"/>
      <c r="H67" s="1">
        <f>SUM(OSRRefH22_13x_0)</f>
        <v>5550</v>
      </c>
      <c r="I67" s="1"/>
      <c r="J67" s="5">
        <f t="shared" si="41"/>
        <v>0</v>
      </c>
      <c r="K67" s="1"/>
      <c r="L67" s="1">
        <f t="shared" si="42"/>
        <v>0</v>
      </c>
      <c r="M67" s="1"/>
      <c r="N67" s="5">
        <f t="shared" si="43"/>
        <v>0</v>
      </c>
      <c r="O67" s="14"/>
      <c r="P67" s="1">
        <f>SUM(OSRRefP22_13x_0)</f>
        <v>22200</v>
      </c>
      <c r="Q67" s="1"/>
      <c r="R67" s="5">
        <f t="shared" si="44"/>
        <v>0</v>
      </c>
      <c r="S67" s="1"/>
      <c r="T67" s="1">
        <f>SUM(OSRRefT22_13x_0)</f>
        <v>22200</v>
      </c>
      <c r="U67" s="1"/>
      <c r="V67" s="5">
        <f t="shared" si="45"/>
        <v>0</v>
      </c>
      <c r="W67" s="1"/>
      <c r="X67" s="1">
        <f t="shared" si="46"/>
        <v>0</v>
      </c>
      <c r="Y67" s="1"/>
      <c r="Z67" s="5">
        <f t="shared" si="47"/>
        <v>0</v>
      </c>
    </row>
    <row r="68" spans="1:26" s="24" customFormat="1" hidden="1" outlineLevel="2" x14ac:dyDescent="0.25">
      <c r="A68" s="27"/>
      <c r="B68" s="11" t="str">
        <f>CONCATENATE("          ", "6274", " - ", "UTILITIES")</f>
        <v xml:space="preserve">          6274 - UTILITIES</v>
      </c>
      <c r="C68" s="11"/>
      <c r="D68" s="7">
        <v>5550</v>
      </c>
      <c r="E68" s="2"/>
      <c r="F68" s="6">
        <f t="shared" si="40"/>
        <v>0</v>
      </c>
      <c r="G68" s="2"/>
      <c r="H68" s="7">
        <v>5550</v>
      </c>
      <c r="I68" s="2"/>
      <c r="J68" s="6">
        <f t="shared" si="41"/>
        <v>0</v>
      </c>
      <c r="K68" s="2"/>
      <c r="L68" s="7">
        <f t="shared" si="42"/>
        <v>0</v>
      </c>
      <c r="M68" s="2"/>
      <c r="N68" s="6">
        <f t="shared" si="43"/>
        <v>0</v>
      </c>
      <c r="O68" s="11"/>
      <c r="P68" s="7">
        <v>22200</v>
      </c>
      <c r="Q68" s="2"/>
      <c r="R68" s="6">
        <f t="shared" si="44"/>
        <v>0</v>
      </c>
      <c r="S68" s="2"/>
      <c r="T68" s="7">
        <v>22200</v>
      </c>
      <c r="U68" s="2"/>
      <c r="V68" s="6">
        <f t="shared" si="45"/>
        <v>0</v>
      </c>
      <c r="W68" s="2"/>
      <c r="X68" s="7">
        <f t="shared" si="46"/>
        <v>0</v>
      </c>
      <c r="Y68" s="2"/>
      <c r="Z68" s="6">
        <f t="shared" si="47"/>
        <v>0</v>
      </c>
    </row>
    <row r="69" spans="1:26" s="60" customFormat="1" x14ac:dyDescent="0.25">
      <c r="A69" s="36"/>
      <c r="B69" s="36"/>
      <c r="C69" s="36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collapsed="1" x14ac:dyDescent="0.25">
      <c r="A70" s="10"/>
      <c r="B70" s="25" t="s">
        <v>293</v>
      </c>
      <c r="C70" s="10"/>
      <c r="D70" s="4">
        <f>SUM(OSRRefD25x_0)</f>
        <v>534.58000000000004</v>
      </c>
      <c r="E70" s="4"/>
      <c r="F70" s="12">
        <f t="shared" ref="F70:F71" si="48">IF(D$12=0,0,D70/D$12)</f>
        <v>0</v>
      </c>
      <c r="G70" s="4"/>
      <c r="H70" s="4">
        <f>SUM(OSRRefH25x_0)</f>
        <v>0</v>
      </c>
      <c r="I70" s="4"/>
      <c r="J70" s="12">
        <f t="shared" ref="J70:J71" si="49">IF(H$12=0,0,H70/H$12)</f>
        <v>0</v>
      </c>
      <c r="K70" s="4"/>
      <c r="L70" s="4">
        <f t="shared" ref="L70:L71" si="50">+D70-H70</f>
        <v>534.58000000000004</v>
      </c>
      <c r="M70" s="4"/>
      <c r="N70" s="12">
        <f t="shared" ref="N70:N71" si="51">IF(H70=0,0,L70/H70)</f>
        <v>0</v>
      </c>
      <c r="O70" s="10"/>
      <c r="P70" s="4">
        <f>SUM(OSRRefP25x_0)</f>
        <v>3545.95</v>
      </c>
      <c r="Q70" s="4"/>
      <c r="R70" s="12">
        <f t="shared" ref="R70:R71" si="52">IF(P$12=0,0,P70/P$12)</f>
        <v>0</v>
      </c>
      <c r="S70" s="4"/>
      <c r="T70" s="4">
        <f>SUM(OSRRefT25x_0)</f>
        <v>0</v>
      </c>
      <c r="U70" s="4"/>
      <c r="V70" s="12">
        <f t="shared" ref="V70:V71" si="53">IF(T$12=0,0,T70/T$12)</f>
        <v>0</v>
      </c>
      <c r="W70" s="4"/>
      <c r="X70" s="4">
        <f t="shared" ref="X70:X71" si="54">+P70-T70</f>
        <v>3545.95</v>
      </c>
      <c r="Y70" s="4"/>
      <c r="Z70" s="12">
        <f t="shared" ref="Z70:Z71" si="55">IF(T70=0,0,X70/T70)</f>
        <v>0</v>
      </c>
    </row>
    <row r="71" spans="1:26" s="24" customFormat="1" hidden="1" outlineLevel="1" x14ac:dyDescent="0.25">
      <c r="A71" s="44"/>
      <c r="B71" s="11" t="str">
        <f>CONCATENATE("          ", "9150", " - ", "MISC. INCOME")</f>
        <v xml:space="preserve">          9150 - MISC. INCOME</v>
      </c>
      <c r="C71" s="11"/>
      <c r="D71" s="2">
        <f>--534.58</f>
        <v>534.58000000000004</v>
      </c>
      <c r="E71" s="2"/>
      <c r="F71" s="19">
        <f t="shared" si="48"/>
        <v>0</v>
      </c>
      <c r="G71" s="2"/>
      <c r="H71" s="2"/>
      <c r="I71" s="2"/>
      <c r="J71" s="19">
        <f t="shared" si="49"/>
        <v>0</v>
      </c>
      <c r="K71" s="2"/>
      <c r="L71" s="2">
        <f t="shared" si="50"/>
        <v>534.58000000000004</v>
      </c>
      <c r="M71" s="2"/>
      <c r="N71" s="19">
        <f t="shared" si="51"/>
        <v>0</v>
      </c>
      <c r="O71" s="11"/>
      <c r="P71" s="2">
        <f>--3545.95</f>
        <v>3545.95</v>
      </c>
      <c r="Q71" s="2"/>
      <c r="R71" s="19">
        <f t="shared" si="52"/>
        <v>0</v>
      </c>
      <c r="S71" s="2"/>
      <c r="T71" s="2"/>
      <c r="U71" s="2"/>
      <c r="V71" s="19">
        <f t="shared" si="53"/>
        <v>0</v>
      </c>
      <c r="W71" s="2"/>
      <c r="X71" s="2">
        <f t="shared" si="54"/>
        <v>3545.95</v>
      </c>
      <c r="Y71" s="2"/>
      <c r="Z71" s="19">
        <f t="shared" si="55"/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6" t="s">
        <v>277</v>
      </c>
      <c r="C73" s="26"/>
      <c r="D73" s="21">
        <f>+D16-D18+D70</f>
        <v>-55904.249999999993</v>
      </c>
      <c r="E73" s="13"/>
      <c r="F73" s="20">
        <f>IF(D$12=0,0,D73/D$12)</f>
        <v>0</v>
      </c>
      <c r="G73" s="13"/>
      <c r="H73" s="21">
        <f>+H16-H18+H70</f>
        <v>-48157.665538461551</v>
      </c>
      <c r="I73" s="13"/>
      <c r="J73" s="20">
        <f>IF(H$12=0,0,H73/H$12)</f>
        <v>0</v>
      </c>
      <c r="K73" s="15"/>
      <c r="L73" s="21">
        <f>+D73-H73</f>
        <v>-7746.5844615384412</v>
      </c>
      <c r="M73" s="15"/>
      <c r="N73" s="20">
        <f>IF(H73=0,0,L73/H73)</f>
        <v>0.16085880357617338</v>
      </c>
      <c r="O73" s="25"/>
      <c r="P73" s="21">
        <f>+P16-P18+P70</f>
        <v>-202648.16</v>
      </c>
      <c r="Q73" s="13"/>
      <c r="R73" s="20">
        <f>IF(P$12=0,0,P73/P$12)</f>
        <v>0</v>
      </c>
      <c r="S73" s="13"/>
      <c r="T73" s="21">
        <f>+T16-T18+T70</f>
        <v>-179834.59593846154</v>
      </c>
      <c r="U73" s="13"/>
      <c r="V73" s="20">
        <f>IF(T$12=0,0,T73/T$12)</f>
        <v>0</v>
      </c>
      <c r="W73" s="15"/>
      <c r="X73" s="21">
        <f>+P73-T73</f>
        <v>-22813.564061538462</v>
      </c>
      <c r="Y73" s="15"/>
      <c r="Z73" s="20">
        <f>IF(T73=0,0,X73/T73)</f>
        <v>0.12685859437938818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2"/>
      <c r="B75" s="10" t="s">
        <v>128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126</v>
      </c>
      <c r="C77" s="26"/>
      <c r="D77" s="31">
        <f>+D73-D75</f>
        <v>-55904.249999999993</v>
      </c>
      <c r="E77" s="13"/>
      <c r="F77" s="33">
        <f>IF(D$12=0,0,D77/D$12)</f>
        <v>0</v>
      </c>
      <c r="G77" s="13"/>
      <c r="H77" s="31">
        <f>+H73-H75</f>
        <v>-48157.665538461551</v>
      </c>
      <c r="I77" s="13"/>
      <c r="J77" s="33">
        <f>IF(H$12=0,0,H77/H$12)</f>
        <v>0</v>
      </c>
      <c r="K77" s="15"/>
      <c r="L77" s="31">
        <f>D77-H77</f>
        <v>-7746.5844615384412</v>
      </c>
      <c r="M77" s="15"/>
      <c r="N77" s="33">
        <f>IF(H77=0,0,L77/H77)</f>
        <v>0.16085880357617338</v>
      </c>
      <c r="O77" s="25"/>
      <c r="P77" s="31">
        <f>+P73-P75</f>
        <v>-202648.16</v>
      </c>
      <c r="Q77" s="13"/>
      <c r="R77" s="33">
        <f>IF(P$12=0,0,P77/P$12)</f>
        <v>0</v>
      </c>
      <c r="S77" s="13"/>
      <c r="T77" s="31">
        <f>+T73-T75</f>
        <v>-179834.59593846154</v>
      </c>
      <c r="U77" s="13"/>
      <c r="V77" s="33">
        <f>IF(T$12=0,0,T77/T$12)</f>
        <v>0</v>
      </c>
      <c r="W77" s="15"/>
      <c r="X77" s="31">
        <f>P77-T77</f>
        <v>-22813.564061538462</v>
      </c>
      <c r="Y77" s="15"/>
      <c r="Z77" s="33">
        <f>IF(T77=0,0,X77/T77)</f>
        <v>0.12685859437938818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294</v>
      </c>
      <c r="C80" s="26"/>
      <c r="D80" s="35">
        <f>SUM(D77:D79)</f>
        <v>-55904.249999999993</v>
      </c>
      <c r="E80" s="13"/>
      <c r="F80" s="32">
        <f>IF(D$12=0,0,D80/D$12)</f>
        <v>0</v>
      </c>
      <c r="G80" s="13"/>
      <c r="H80" s="35">
        <f>SUM(H77:H79)</f>
        <v>-48157.665538461551</v>
      </c>
      <c r="I80" s="13"/>
      <c r="J80" s="32">
        <f>IF(H$12=0,0,H80/H$12)</f>
        <v>0</v>
      </c>
      <c r="K80" s="15"/>
      <c r="L80" s="35">
        <f>+D80-H80</f>
        <v>-7746.5844615384412</v>
      </c>
      <c r="M80" s="15"/>
      <c r="N80" s="32">
        <f>IF(H80=0,0,L80/H80)</f>
        <v>0.16085880357617338</v>
      </c>
      <c r="O80" s="25"/>
      <c r="P80" s="35">
        <f>SUM(P77:P79)</f>
        <v>-202648.16</v>
      </c>
      <c r="Q80" s="13"/>
      <c r="R80" s="32">
        <f>IF(P$12=0,0,P80/P$12)</f>
        <v>0</v>
      </c>
      <c r="S80" s="13"/>
      <c r="T80" s="35">
        <f>SUM(T77:T79)</f>
        <v>-179834.59593846154</v>
      </c>
      <c r="U80" s="13"/>
      <c r="V80" s="32">
        <f>IF(T$12=0,0,T80/T$12)</f>
        <v>0</v>
      </c>
      <c r="W80" s="15"/>
      <c r="X80" s="35">
        <f>+P80-T80</f>
        <v>-22813.564061538462</v>
      </c>
      <c r="Y80" s="15"/>
      <c r="Z80" s="32">
        <f>IF(T80=0,0,X80/T80)</f>
        <v>0.12685859437938818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9">
        <v>44517.962875613426</v>
      </c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A83" s="9"/>
      <c r="B83" s="62" t="s">
        <v>56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4" x14ac:dyDescent="0.25">
      <c r="A84" s="9"/>
      <c r="B84" s="57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4" x14ac:dyDescent="0.25"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","412", " - ", "Chartroom")</f>
        <v>Department 412 - Chartroom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604.96</v>
      </c>
      <c r="E18" s="22"/>
      <c r="F18" s="34">
        <f t="shared" ref="F18:F26" si="0">IF(D$12=0,0,D18/D$12)</f>
        <v>0</v>
      </c>
      <c r="G18" s="22"/>
      <c r="H18" s="22">
        <f>SUM(OSRRefH22x_0)</f>
        <v>577</v>
      </c>
      <c r="I18" s="22"/>
      <c r="J18" s="34">
        <f t="shared" ref="J18:J26" si="1">IF(H$12=0,0,H18/H$12)</f>
        <v>0</v>
      </c>
      <c r="K18" s="4"/>
      <c r="L18" s="22">
        <f t="shared" ref="L18:L26" si="2">+D18-H18</f>
        <v>27.960000000000036</v>
      </c>
      <c r="M18" s="4"/>
      <c r="N18" s="34">
        <f t="shared" ref="N18:N26" si="3">IF(H18=0,0,L18/H18)</f>
        <v>4.8457538994800757E-2</v>
      </c>
      <c r="O18" s="10"/>
      <c r="P18" s="22">
        <f>SUM(OSRRefP22x_0)</f>
        <v>2505.4699999999998</v>
      </c>
      <c r="Q18" s="22"/>
      <c r="R18" s="34">
        <f t="shared" ref="R18:R26" si="4">IF(P$12=0,0,P18/P$12)</f>
        <v>0</v>
      </c>
      <c r="S18" s="22"/>
      <c r="T18" s="22">
        <f>SUM(OSRRefT22x_0)</f>
        <v>2308</v>
      </c>
      <c r="U18" s="22"/>
      <c r="V18" s="34">
        <f t="shared" ref="V18:V26" si="5">IF(T$12=0,0,T18/T$12)</f>
        <v>0</v>
      </c>
      <c r="W18" s="4"/>
      <c r="X18" s="22">
        <f t="shared" ref="X18:X26" si="6">+P18-T18</f>
        <v>197.4699999999998</v>
      </c>
      <c r="Y18" s="4"/>
      <c r="Z18" s="34">
        <f t="shared" ref="Z18:Z26" si="7">IF(T18=0,0,X18/T18)</f>
        <v>8.5558925476603029E-2</v>
      </c>
    </row>
    <row r="19" spans="1:26" s="28" customFormat="1" outlineLevel="1" collapsed="1" x14ac:dyDescent="0.25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577.36</v>
      </c>
      <c r="E19" s="1"/>
      <c r="F19" s="5">
        <f t="shared" si="0"/>
        <v>0</v>
      </c>
      <c r="G19" s="1"/>
      <c r="H19" s="1">
        <f>SUM(OSRRefH22_0x_0)</f>
        <v>577</v>
      </c>
      <c r="I19" s="1"/>
      <c r="J19" s="5">
        <f t="shared" si="1"/>
        <v>0</v>
      </c>
      <c r="K19" s="1"/>
      <c r="L19" s="1">
        <f t="shared" si="2"/>
        <v>0.36000000000001364</v>
      </c>
      <c r="M19" s="1"/>
      <c r="N19" s="5">
        <f t="shared" si="3"/>
        <v>6.2391681109187809E-4</v>
      </c>
      <c r="O19" s="14"/>
      <c r="P19" s="1">
        <f>SUM(OSRRefP22_0x_0)</f>
        <v>2309.44</v>
      </c>
      <c r="Q19" s="1"/>
      <c r="R19" s="5">
        <f t="shared" si="4"/>
        <v>0</v>
      </c>
      <c r="S19" s="1"/>
      <c r="T19" s="1">
        <f>SUM(OSRRefT22_0x_0)</f>
        <v>2308</v>
      </c>
      <c r="U19" s="1"/>
      <c r="V19" s="5">
        <f t="shared" si="5"/>
        <v>0</v>
      </c>
      <c r="W19" s="1"/>
      <c r="X19" s="1">
        <f t="shared" si="6"/>
        <v>1.4400000000000546</v>
      </c>
      <c r="Y19" s="1"/>
      <c r="Z19" s="5">
        <f t="shared" si="7"/>
        <v>6.2391681109187809E-4</v>
      </c>
    </row>
    <row r="20" spans="1:26" s="24" customFormat="1" hidden="1" outlineLevel="2" x14ac:dyDescent="0.25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577.36</v>
      </c>
      <c r="E20" s="2"/>
      <c r="F20" s="6">
        <f t="shared" si="0"/>
        <v>0</v>
      </c>
      <c r="G20" s="2"/>
      <c r="H20" s="7">
        <v>577</v>
      </c>
      <c r="I20" s="2"/>
      <c r="J20" s="6">
        <f t="shared" si="1"/>
        <v>0</v>
      </c>
      <c r="K20" s="2"/>
      <c r="L20" s="7">
        <f t="shared" si="2"/>
        <v>0.36000000000001364</v>
      </c>
      <c r="M20" s="2"/>
      <c r="N20" s="6">
        <f t="shared" si="3"/>
        <v>6.2391681109187809E-4</v>
      </c>
      <c r="O20" s="11"/>
      <c r="P20" s="7">
        <v>2309.44</v>
      </c>
      <c r="Q20" s="2"/>
      <c r="R20" s="6">
        <f t="shared" si="4"/>
        <v>0</v>
      </c>
      <c r="S20" s="2"/>
      <c r="T20" s="7">
        <v>2308</v>
      </c>
      <c r="U20" s="2"/>
      <c r="V20" s="6">
        <f t="shared" si="5"/>
        <v>0</v>
      </c>
      <c r="W20" s="2"/>
      <c r="X20" s="7">
        <f t="shared" si="6"/>
        <v>1.4400000000000546</v>
      </c>
      <c r="Y20" s="2"/>
      <c r="Z20" s="6">
        <f t="shared" si="7"/>
        <v>6.2391681109187809E-4</v>
      </c>
    </row>
    <row r="21" spans="1:26" s="28" customFormat="1" outlineLevel="1" collapsed="1" x14ac:dyDescent="0.25">
      <c r="A21" s="29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60.43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60.43</v>
      </c>
      <c r="Y21" s="1"/>
      <c r="Z21" s="5">
        <f t="shared" si="7"/>
        <v>0</v>
      </c>
    </row>
    <row r="22" spans="1:26" s="24" customFormat="1" hidden="1" outlineLevel="2" x14ac:dyDescent="0.25">
      <c r="A22" s="27"/>
      <c r="B22" s="11" t="str">
        <f>CONCATENATE("          ", "6373", " - ", "MAINTENANCE CONTRACTS")</f>
        <v xml:space="preserve">          6373 - MAINTENANCE CONTRACTS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60.43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60.43</v>
      </c>
      <c r="Y22" s="2"/>
      <c r="Z22" s="6">
        <f t="shared" si="7"/>
        <v>0</v>
      </c>
    </row>
    <row r="23" spans="1:26" s="28" customFormat="1" outlineLevel="1" collapsed="1" x14ac:dyDescent="0.25">
      <c r="A23" s="29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0</v>
      </c>
      <c r="Y23" s="1"/>
      <c r="Z23" s="5">
        <f t="shared" si="7"/>
        <v>0</v>
      </c>
    </row>
    <row r="24" spans="1:26" s="24" customFormat="1" hidden="1" outlineLevel="2" x14ac:dyDescent="0.25">
      <c r="A24" s="27"/>
      <c r="B24" s="11" t="str">
        <f>CONCATENATE("          ", "6284", " - ", "TRASH REMOVAL EXPENSE")</f>
        <v xml:space="preserve">          6284 - TRASH REMOVAL EXPENSE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28" customFormat="1" outlineLevel="1" collapsed="1" x14ac:dyDescent="0.25">
      <c r="A25" s="29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27.6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27.6</v>
      </c>
      <c r="M25" s="1"/>
      <c r="N25" s="5">
        <f t="shared" si="3"/>
        <v>0</v>
      </c>
      <c r="O25" s="14"/>
      <c r="P25" s="1">
        <f>SUM(OSRRefP22_3x_0)</f>
        <v>135.6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135.6</v>
      </c>
      <c r="Y25" s="1"/>
      <c r="Z25" s="5">
        <f t="shared" si="7"/>
        <v>0</v>
      </c>
    </row>
    <row r="26" spans="1:26" s="24" customFormat="1" hidden="1" outlineLevel="2" x14ac:dyDescent="0.25">
      <c r="A26" s="27"/>
      <c r="B26" s="11" t="str">
        <f>CONCATENATE("          ", "6309", " - ", "TELEPHONE")</f>
        <v xml:space="preserve">          6309 - TELEPHONE</v>
      </c>
      <c r="C26" s="11"/>
      <c r="D26" s="7">
        <v>27.6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27.6</v>
      </c>
      <c r="M26" s="2"/>
      <c r="N26" s="6">
        <f t="shared" si="3"/>
        <v>0</v>
      </c>
      <c r="O26" s="11"/>
      <c r="P26" s="7">
        <v>135.6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135.6</v>
      </c>
      <c r="Y26" s="2"/>
      <c r="Z26" s="6">
        <f t="shared" si="7"/>
        <v>0</v>
      </c>
    </row>
    <row r="27" spans="1:26" s="60" customFormat="1" x14ac:dyDescent="0.25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5" t="s">
        <v>293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6" t="s">
        <v>277</v>
      </c>
      <c r="C30" s="26"/>
      <c r="D30" s="21">
        <f>+D16-D18+D28</f>
        <v>-604.96</v>
      </c>
      <c r="E30" s="13"/>
      <c r="F30" s="20">
        <f>IF(D$12=0,0,D30/D$12)</f>
        <v>0</v>
      </c>
      <c r="G30" s="13"/>
      <c r="H30" s="21">
        <f>+H16-H18+H28</f>
        <v>-577</v>
      </c>
      <c r="I30" s="13"/>
      <c r="J30" s="20">
        <f>IF(H$12=0,0,H30/H$12)</f>
        <v>0</v>
      </c>
      <c r="K30" s="15"/>
      <c r="L30" s="21">
        <f>+D30-H30</f>
        <v>-27.960000000000036</v>
      </c>
      <c r="M30" s="15"/>
      <c r="N30" s="20">
        <f>IF(H30=0,0,L30/H30)</f>
        <v>4.8457538994800757E-2</v>
      </c>
      <c r="O30" s="25"/>
      <c r="P30" s="21">
        <f>+P16-P18+P28</f>
        <v>-2505.4699999999998</v>
      </c>
      <c r="Q30" s="13"/>
      <c r="R30" s="20">
        <f>IF(P$12=0,0,P30/P$12)</f>
        <v>0</v>
      </c>
      <c r="S30" s="13"/>
      <c r="T30" s="21">
        <f>+T16-T18+T28</f>
        <v>-2308</v>
      </c>
      <c r="U30" s="13"/>
      <c r="V30" s="20">
        <f>IF(T$12=0,0,T30/T$12)</f>
        <v>0</v>
      </c>
      <c r="W30" s="15"/>
      <c r="X30" s="21">
        <f>+P30-T30</f>
        <v>-197.4699999999998</v>
      </c>
      <c r="Y30" s="15"/>
      <c r="Z30" s="20">
        <f>IF(T30=0,0,X30/T30)</f>
        <v>8.5558925476603029E-2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2"/>
      <c r="B32" s="10" t="s">
        <v>128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6" t="s">
        <v>126</v>
      </c>
      <c r="C34" s="26"/>
      <c r="D34" s="31">
        <f>+D30-D32</f>
        <v>-604.96</v>
      </c>
      <c r="E34" s="13"/>
      <c r="F34" s="33">
        <f>IF(D$12=0,0,D34/D$12)</f>
        <v>0</v>
      </c>
      <c r="G34" s="13"/>
      <c r="H34" s="31">
        <f>+H30-H32</f>
        <v>-577</v>
      </c>
      <c r="I34" s="13"/>
      <c r="J34" s="33">
        <f>IF(H$12=0,0,H34/H$12)</f>
        <v>0</v>
      </c>
      <c r="K34" s="15"/>
      <c r="L34" s="31">
        <f>D34-H34</f>
        <v>-27.960000000000036</v>
      </c>
      <c r="M34" s="15"/>
      <c r="N34" s="33">
        <f>IF(H34=0,0,L34/H34)</f>
        <v>4.8457538994800757E-2</v>
      </c>
      <c r="O34" s="25"/>
      <c r="P34" s="31">
        <f>+P30-P32</f>
        <v>-2505.4699999999998</v>
      </c>
      <c r="Q34" s="13"/>
      <c r="R34" s="33">
        <f>IF(P$12=0,0,P34/P$12)</f>
        <v>0</v>
      </c>
      <c r="S34" s="13"/>
      <c r="T34" s="31">
        <f>+T30-T32</f>
        <v>-2308</v>
      </c>
      <c r="U34" s="13"/>
      <c r="V34" s="33">
        <f>IF(T$12=0,0,T34/T$12)</f>
        <v>0</v>
      </c>
      <c r="W34" s="15"/>
      <c r="X34" s="31">
        <f>P34-T34</f>
        <v>-197.4699999999998</v>
      </c>
      <c r="Y34" s="15"/>
      <c r="Z34" s="33">
        <f>IF(T34=0,0,X34/T34)</f>
        <v>8.5558925476603029E-2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6" t="s">
        <v>294</v>
      </c>
      <c r="C37" s="26"/>
      <c r="D37" s="35">
        <f>SUM(D34:D36)</f>
        <v>-604.96</v>
      </c>
      <c r="E37" s="13"/>
      <c r="F37" s="32">
        <f>IF(D$12=0,0,D37/D$12)</f>
        <v>0</v>
      </c>
      <c r="G37" s="13"/>
      <c r="H37" s="35">
        <f>SUM(H34:H36)</f>
        <v>-577</v>
      </c>
      <c r="I37" s="13"/>
      <c r="J37" s="32">
        <f>IF(H$12=0,0,H37/H$12)</f>
        <v>0</v>
      </c>
      <c r="K37" s="15"/>
      <c r="L37" s="35">
        <f>+D37-H37</f>
        <v>-27.960000000000036</v>
      </c>
      <c r="M37" s="15"/>
      <c r="N37" s="32">
        <f>IF(H37=0,0,L37/H37)</f>
        <v>4.8457538994800757E-2</v>
      </c>
      <c r="O37" s="25"/>
      <c r="P37" s="35">
        <f>SUM(P34:P36)</f>
        <v>-2505.4699999999998</v>
      </c>
      <c r="Q37" s="13"/>
      <c r="R37" s="32">
        <f>IF(P$12=0,0,P37/P$12)</f>
        <v>0</v>
      </c>
      <c r="S37" s="13"/>
      <c r="T37" s="35">
        <f>SUM(T34:T36)</f>
        <v>-2308</v>
      </c>
      <c r="U37" s="13"/>
      <c r="V37" s="32">
        <f>IF(T$12=0,0,T37/T$12)</f>
        <v>0</v>
      </c>
      <c r="W37" s="15"/>
      <c r="X37" s="35">
        <f>+P37-T37</f>
        <v>-197.4699999999998</v>
      </c>
      <c r="Y37" s="15"/>
      <c r="Z37" s="32">
        <f>IF(T37=0,0,X37/T37)</f>
        <v>8.5558925476603029E-2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>
        <v>44517.962875613426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62" t="s">
        <v>56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7"/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","413", " - ", "Beach Walk")</f>
        <v>Department 413 - Beach Walk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58.03</v>
      </c>
      <c r="E18" s="22"/>
      <c r="F18" s="34">
        <f t="shared" ref="F18:F24" si="0">IF(D$12=0,0,D18/D$12)</f>
        <v>0</v>
      </c>
      <c r="G18" s="22"/>
      <c r="H18" s="22">
        <f>SUM(OSRRefH22x_0)</f>
        <v>58</v>
      </c>
      <c r="I18" s="22"/>
      <c r="J18" s="34">
        <f t="shared" ref="J18:J24" si="1">IF(H$12=0,0,H18/H$12)</f>
        <v>0</v>
      </c>
      <c r="K18" s="4"/>
      <c r="L18" s="22">
        <f t="shared" ref="L18:L24" si="2">+D18-H18</f>
        <v>3.0000000000001137E-2</v>
      </c>
      <c r="M18" s="4"/>
      <c r="N18" s="34">
        <f t="shared" ref="N18:N24" si="3">IF(H18=0,0,L18/H18)</f>
        <v>5.1724137931036447E-4</v>
      </c>
      <c r="O18" s="10"/>
      <c r="P18" s="22">
        <f>SUM(OSRRefP22x_0)</f>
        <v>397.21000000000004</v>
      </c>
      <c r="Q18" s="22"/>
      <c r="R18" s="34">
        <f t="shared" ref="R18:R24" si="4">IF(P$12=0,0,P18/P$12)</f>
        <v>0</v>
      </c>
      <c r="S18" s="22"/>
      <c r="T18" s="22">
        <f>SUM(OSRRefT22x_0)</f>
        <v>232</v>
      </c>
      <c r="U18" s="22"/>
      <c r="V18" s="34">
        <f t="shared" ref="V18:V24" si="5">IF(T$12=0,0,T18/T$12)</f>
        <v>0</v>
      </c>
      <c r="W18" s="4"/>
      <c r="X18" s="22">
        <f t="shared" ref="X18:X24" si="6">+P18-T18</f>
        <v>165.21000000000004</v>
      </c>
      <c r="Y18" s="4"/>
      <c r="Z18" s="34">
        <f t="shared" ref="Z18:Z24" si="7">IF(T18=0,0,X18/T18)</f>
        <v>0.71211206896551738</v>
      </c>
    </row>
    <row r="19" spans="1:26" s="28" customFormat="1" outlineLevel="1" collapsed="1" x14ac:dyDescent="0.25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58.03</v>
      </c>
      <c r="E19" s="1"/>
      <c r="F19" s="5">
        <f t="shared" si="0"/>
        <v>0</v>
      </c>
      <c r="G19" s="1"/>
      <c r="H19" s="1">
        <f>SUM(OSRRefH22_0x_0)</f>
        <v>58</v>
      </c>
      <c r="I19" s="1"/>
      <c r="J19" s="5">
        <f t="shared" si="1"/>
        <v>0</v>
      </c>
      <c r="K19" s="1"/>
      <c r="L19" s="1">
        <f t="shared" si="2"/>
        <v>3.0000000000001137E-2</v>
      </c>
      <c r="M19" s="1"/>
      <c r="N19" s="5">
        <f t="shared" si="3"/>
        <v>5.1724137931036447E-4</v>
      </c>
      <c r="O19" s="14"/>
      <c r="P19" s="1">
        <f>SUM(OSRRefP22_0x_0)</f>
        <v>232.12</v>
      </c>
      <c r="Q19" s="1"/>
      <c r="R19" s="5">
        <f t="shared" si="4"/>
        <v>0</v>
      </c>
      <c r="S19" s="1"/>
      <c r="T19" s="1">
        <f>SUM(OSRRefT22_0x_0)</f>
        <v>232</v>
      </c>
      <c r="U19" s="1"/>
      <c r="V19" s="5">
        <f t="shared" si="5"/>
        <v>0</v>
      </c>
      <c r="W19" s="1"/>
      <c r="X19" s="1">
        <f t="shared" si="6"/>
        <v>0.12000000000000455</v>
      </c>
      <c r="Y19" s="1"/>
      <c r="Z19" s="5">
        <f t="shared" si="7"/>
        <v>5.1724137931036447E-4</v>
      </c>
    </row>
    <row r="20" spans="1:26" s="24" customFormat="1" hidden="1" outlineLevel="2" x14ac:dyDescent="0.25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58.03</v>
      </c>
      <c r="E20" s="2"/>
      <c r="F20" s="6">
        <f t="shared" si="0"/>
        <v>0</v>
      </c>
      <c r="G20" s="2"/>
      <c r="H20" s="7">
        <v>58</v>
      </c>
      <c r="I20" s="2"/>
      <c r="J20" s="6">
        <f t="shared" si="1"/>
        <v>0</v>
      </c>
      <c r="K20" s="2"/>
      <c r="L20" s="7">
        <f t="shared" si="2"/>
        <v>3.0000000000001137E-2</v>
      </c>
      <c r="M20" s="2"/>
      <c r="N20" s="6">
        <f t="shared" si="3"/>
        <v>5.1724137931036447E-4</v>
      </c>
      <c r="O20" s="11"/>
      <c r="P20" s="7">
        <v>232.12</v>
      </c>
      <c r="Q20" s="2"/>
      <c r="R20" s="6">
        <f t="shared" si="4"/>
        <v>0</v>
      </c>
      <c r="S20" s="2"/>
      <c r="T20" s="7">
        <v>232</v>
      </c>
      <c r="U20" s="2"/>
      <c r="V20" s="6">
        <f t="shared" si="5"/>
        <v>0</v>
      </c>
      <c r="W20" s="2"/>
      <c r="X20" s="7">
        <f t="shared" si="6"/>
        <v>0.12000000000000455</v>
      </c>
      <c r="Y20" s="2"/>
      <c r="Z20" s="6">
        <f t="shared" si="7"/>
        <v>5.1724137931036447E-4</v>
      </c>
    </row>
    <row r="21" spans="1:26" s="28" customFormat="1" outlineLevel="1" collapsed="1" x14ac:dyDescent="0.25">
      <c r="A21" s="29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165.09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165.09</v>
      </c>
      <c r="Y21" s="1"/>
      <c r="Z21" s="5">
        <f t="shared" si="7"/>
        <v>0</v>
      </c>
    </row>
    <row r="22" spans="1:26" s="24" customFormat="1" hidden="1" outlineLevel="2" x14ac:dyDescent="0.25">
      <c r="A22" s="27"/>
      <c r="B22" s="11" t="str">
        <f>CONCATENATE("          ", "6373", " - ", "MAINTENANCE CONTRACTS")</f>
        <v xml:space="preserve">          6373 - MAINTENANCE CONTRACTS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165.09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165.09</v>
      </c>
      <c r="Y22" s="2"/>
      <c r="Z22" s="6">
        <f t="shared" si="7"/>
        <v>0</v>
      </c>
    </row>
    <row r="23" spans="1:26" s="28" customFormat="1" outlineLevel="1" collapsed="1" x14ac:dyDescent="0.25">
      <c r="A23" s="29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0</v>
      </c>
      <c r="Y23" s="1"/>
      <c r="Z23" s="5">
        <f t="shared" si="7"/>
        <v>0</v>
      </c>
    </row>
    <row r="24" spans="1:26" s="24" customFormat="1" hidden="1" outlineLevel="2" x14ac:dyDescent="0.25">
      <c r="A24" s="27"/>
      <c r="B24" s="11" t="str">
        <f>CONCATENATE("          ", "6284", " - ", "TRASH REMOVAL EXPENSE")</f>
        <v xml:space="preserve">          6284 - TRASH REMOVAL EXPENSE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60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6" t="s">
        <v>277</v>
      </c>
      <c r="C28" s="26"/>
      <c r="D28" s="21">
        <f>+D16-D18+D26</f>
        <v>-58.03</v>
      </c>
      <c r="E28" s="13"/>
      <c r="F28" s="20">
        <f>IF(D$12=0,0,D28/D$12)</f>
        <v>0</v>
      </c>
      <c r="G28" s="13"/>
      <c r="H28" s="21">
        <f>+H16-H18+H26</f>
        <v>-58</v>
      </c>
      <c r="I28" s="13"/>
      <c r="J28" s="20">
        <f>IF(H$12=0,0,H28/H$12)</f>
        <v>0</v>
      </c>
      <c r="K28" s="15"/>
      <c r="L28" s="21">
        <f>+D28-H28</f>
        <v>-3.0000000000001137E-2</v>
      </c>
      <c r="M28" s="15"/>
      <c r="N28" s="20">
        <f>IF(H28=0,0,L28/H28)</f>
        <v>5.1724137931036447E-4</v>
      </c>
      <c r="O28" s="25"/>
      <c r="P28" s="21">
        <f>+P16-P18+P26</f>
        <v>-397.21000000000004</v>
      </c>
      <c r="Q28" s="13"/>
      <c r="R28" s="20">
        <f>IF(P$12=0,0,P28/P$12)</f>
        <v>0</v>
      </c>
      <c r="S28" s="13"/>
      <c r="T28" s="21">
        <f>+T16-T18+T26</f>
        <v>-232</v>
      </c>
      <c r="U28" s="13"/>
      <c r="V28" s="20">
        <f>IF(T$12=0,0,T28/T$12)</f>
        <v>0</v>
      </c>
      <c r="W28" s="15"/>
      <c r="X28" s="21">
        <f>+P28-T28</f>
        <v>-165.21000000000004</v>
      </c>
      <c r="Y28" s="15"/>
      <c r="Z28" s="20">
        <f>IF(T28=0,0,X28/T28)</f>
        <v>0.71211206896551738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128</v>
      </c>
      <c r="C30" s="10"/>
      <c r="D30" s="4"/>
      <c r="E30" s="4"/>
      <c r="F30" s="12">
        <f>IF(D$12=0,0,D30/D$12)</f>
        <v>0</v>
      </c>
      <c r="G30" s="4"/>
      <c r="H30" s="4"/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/>
      <c r="Q30" s="4"/>
      <c r="R30" s="12">
        <f>IF(P$12=0,0,P30/P$12)</f>
        <v>0</v>
      </c>
      <c r="S30" s="4"/>
      <c r="T30" s="4"/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6" t="s">
        <v>126</v>
      </c>
      <c r="C32" s="26"/>
      <c r="D32" s="31">
        <f>+D28-D30</f>
        <v>-58.03</v>
      </c>
      <c r="E32" s="13"/>
      <c r="F32" s="33">
        <f>IF(D$12=0,0,D32/D$12)</f>
        <v>0</v>
      </c>
      <c r="G32" s="13"/>
      <c r="H32" s="31">
        <f>+H28-H30</f>
        <v>-58</v>
      </c>
      <c r="I32" s="13"/>
      <c r="J32" s="33">
        <f>IF(H$12=0,0,H32/H$12)</f>
        <v>0</v>
      </c>
      <c r="K32" s="15"/>
      <c r="L32" s="31">
        <f>D32-H32</f>
        <v>-3.0000000000001137E-2</v>
      </c>
      <c r="M32" s="15"/>
      <c r="N32" s="33">
        <f>IF(H32=0,0,L32/H32)</f>
        <v>5.1724137931036447E-4</v>
      </c>
      <c r="O32" s="25"/>
      <c r="P32" s="31">
        <f>+P28-P30</f>
        <v>-397.21000000000004</v>
      </c>
      <c r="Q32" s="13"/>
      <c r="R32" s="33">
        <f>IF(P$12=0,0,P32/P$12)</f>
        <v>0</v>
      </c>
      <c r="S32" s="13"/>
      <c r="T32" s="31">
        <f>+T28-T30</f>
        <v>-232</v>
      </c>
      <c r="U32" s="13"/>
      <c r="V32" s="33">
        <f>IF(T$12=0,0,T32/T$12)</f>
        <v>0</v>
      </c>
      <c r="W32" s="15"/>
      <c r="X32" s="31">
        <f>P32-T32</f>
        <v>-165.21000000000004</v>
      </c>
      <c r="Y32" s="15"/>
      <c r="Z32" s="33">
        <f>IF(T32=0,0,X32/T32)</f>
        <v>0.71211206896551738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6" t="s">
        <v>294</v>
      </c>
      <c r="C35" s="26"/>
      <c r="D35" s="35">
        <f>SUM(D32:D34)</f>
        <v>-58.03</v>
      </c>
      <c r="E35" s="13"/>
      <c r="F35" s="32">
        <f>IF(D$12=0,0,D35/D$12)</f>
        <v>0</v>
      </c>
      <c r="G35" s="13"/>
      <c r="H35" s="35">
        <f>SUM(H32:H34)</f>
        <v>-58</v>
      </c>
      <c r="I35" s="13"/>
      <c r="J35" s="32">
        <f>IF(H$12=0,0,H35/H$12)</f>
        <v>0</v>
      </c>
      <c r="K35" s="15"/>
      <c r="L35" s="35">
        <f>+D35-H35</f>
        <v>-3.0000000000001137E-2</v>
      </c>
      <c r="M35" s="15"/>
      <c r="N35" s="32">
        <f>IF(H35=0,0,L35/H35)</f>
        <v>5.1724137931036447E-4</v>
      </c>
      <c r="O35" s="25"/>
      <c r="P35" s="35">
        <f>SUM(P32:P34)</f>
        <v>-397.21000000000004</v>
      </c>
      <c r="Q35" s="13"/>
      <c r="R35" s="32">
        <f>IF(P$12=0,0,P35/P$12)</f>
        <v>0</v>
      </c>
      <c r="S35" s="13"/>
      <c r="T35" s="35">
        <f>SUM(T32:T34)</f>
        <v>-232</v>
      </c>
      <c r="U35" s="13"/>
      <c r="V35" s="32">
        <f>IF(T$12=0,0,T35/T$12)</f>
        <v>0</v>
      </c>
      <c r="W35" s="15"/>
      <c r="X35" s="35">
        <f>+P35-T35</f>
        <v>-165.21000000000004</v>
      </c>
      <c r="Y35" s="15"/>
      <c r="Z35" s="32">
        <f>IF(T35=0,0,X35/T35)</f>
        <v>0.71211206896551738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59">
        <v>44517.962875613426</v>
      </c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62" t="s">
        <v>56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7"/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","414", " - ", "Starbucks UDP")</f>
        <v>Department 414 - Starbucks UDP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0</v>
      </c>
      <c r="E18" s="22"/>
      <c r="F18" s="34">
        <f t="shared" ref="F18:F22" si="0">IF(D$12=0,0,D18/D$12)</f>
        <v>0</v>
      </c>
      <c r="G18" s="22"/>
      <c r="H18" s="22">
        <f>SUM(OSRRefH22x_0)</f>
        <v>0</v>
      </c>
      <c r="I18" s="22"/>
      <c r="J18" s="34">
        <f t="shared" ref="J18:J22" si="1">IF(H$12=0,0,H18/H$12)</f>
        <v>0</v>
      </c>
      <c r="K18" s="4"/>
      <c r="L18" s="22">
        <f t="shared" ref="L18:L22" si="2">+D18-H18</f>
        <v>0</v>
      </c>
      <c r="M18" s="4"/>
      <c r="N18" s="34">
        <f t="shared" ref="N18:N22" si="3">IF(H18=0,0,L18/H18)</f>
        <v>0</v>
      </c>
      <c r="O18" s="10"/>
      <c r="P18" s="22">
        <f>SUM(OSRRefP22x_0)</f>
        <v>129.16999999999999</v>
      </c>
      <c r="Q18" s="22"/>
      <c r="R18" s="34">
        <f t="shared" ref="R18:R22" si="4">IF(P$12=0,0,P18/P$12)</f>
        <v>0</v>
      </c>
      <c r="S18" s="22"/>
      <c r="T18" s="22">
        <f>SUM(OSRRefT22x_0)</f>
        <v>0</v>
      </c>
      <c r="U18" s="22"/>
      <c r="V18" s="34">
        <f t="shared" ref="V18:V22" si="5">IF(T$12=0,0,T18/T$12)</f>
        <v>0</v>
      </c>
      <c r="W18" s="4"/>
      <c r="X18" s="22">
        <f t="shared" ref="X18:X22" si="6">+P18-T18</f>
        <v>129.16999999999999</v>
      </c>
      <c r="Y18" s="4"/>
      <c r="Z18" s="34">
        <f t="shared" ref="Z18:Z22" si="7">IF(T18=0,0,X18/T18)</f>
        <v>0</v>
      </c>
    </row>
    <row r="19" spans="1:26" s="28" customFormat="1" outlineLevel="1" collapsed="1" x14ac:dyDescent="0.25">
      <c r="A19" s="29"/>
      <c r="B19" s="14" t="str">
        <f>CONCATENATE("     ","Repair and Maintenance                            ")</f>
        <v xml:space="preserve">     Repair and Maintenance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129.16999999999999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129.16999999999999</v>
      </c>
      <c r="Y19" s="1"/>
      <c r="Z19" s="5">
        <f t="shared" si="7"/>
        <v>0</v>
      </c>
    </row>
    <row r="20" spans="1:26" s="24" customFormat="1" hidden="1" outlineLevel="2" x14ac:dyDescent="0.25">
      <c r="A20" s="27"/>
      <c r="B20" s="11" t="str">
        <f>CONCATENATE("          ", "6373", " - ", "MAINTENANCE CONTRACTS")</f>
        <v xml:space="preserve">          6373 - MAINTENANCE CONTRACTS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129.16999999999999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129.16999999999999</v>
      </c>
      <c r="Y20" s="2"/>
      <c r="Z20" s="6">
        <f t="shared" si="7"/>
        <v>0</v>
      </c>
    </row>
    <row r="21" spans="1:26" s="28" customFormat="1" outlineLevel="1" collapsed="1" x14ac:dyDescent="0.25">
      <c r="A21" s="29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0</v>
      </c>
      <c r="Y21" s="1"/>
      <c r="Z21" s="5">
        <f t="shared" si="7"/>
        <v>0</v>
      </c>
    </row>
    <row r="22" spans="1:26" s="24" customFormat="1" hidden="1" outlineLevel="2" x14ac:dyDescent="0.25">
      <c r="A22" s="27"/>
      <c r="B22" s="11" t="str">
        <f>CONCATENATE("          ", "6284", " - ", "TRASH REMOVAL EXPENSE")</f>
        <v xml:space="preserve">          6284 - TRASH REMOVAL EXPENSE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/>
      <c r="Q22" s="2"/>
      <c r="R22" s="6">
        <f t="shared" si="4"/>
        <v>0</v>
      </c>
      <c r="S22" s="2"/>
      <c r="T22" s="7">
        <v>0</v>
      </c>
      <c r="U22" s="2"/>
      <c r="V22" s="6">
        <f t="shared" si="5"/>
        <v>0</v>
      </c>
      <c r="W22" s="2"/>
      <c r="X22" s="7">
        <f t="shared" si="6"/>
        <v>0</v>
      </c>
      <c r="Y22" s="2"/>
      <c r="Z22" s="6">
        <f t="shared" si="7"/>
        <v>0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293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6" t="s">
        <v>277</v>
      </c>
      <c r="C26" s="26"/>
      <c r="D26" s="21">
        <f>+D16-D18+D24</f>
        <v>0</v>
      </c>
      <c r="E26" s="13"/>
      <c r="F26" s="20">
        <f>IF(D$12=0,0,D26/D$12)</f>
        <v>0</v>
      </c>
      <c r="G26" s="13"/>
      <c r="H26" s="21">
        <f>+H16-H18+H24</f>
        <v>0</v>
      </c>
      <c r="I26" s="13"/>
      <c r="J26" s="20">
        <f>IF(H$12=0,0,H26/H$12)</f>
        <v>0</v>
      </c>
      <c r="K26" s="15"/>
      <c r="L26" s="21">
        <f>+D26-H26</f>
        <v>0</v>
      </c>
      <c r="M26" s="15"/>
      <c r="N26" s="20">
        <f>IF(H26=0,0,L26/H26)</f>
        <v>0</v>
      </c>
      <c r="O26" s="25"/>
      <c r="P26" s="21">
        <f>+P16-P18+P24</f>
        <v>-129.16999999999999</v>
      </c>
      <c r="Q26" s="13"/>
      <c r="R26" s="20">
        <f>IF(P$12=0,0,P26/P$12)</f>
        <v>0</v>
      </c>
      <c r="S26" s="13"/>
      <c r="T26" s="21">
        <f>+T16-T18+T24</f>
        <v>0</v>
      </c>
      <c r="U26" s="13"/>
      <c r="V26" s="20">
        <f>IF(T$12=0,0,T26/T$12)</f>
        <v>0</v>
      </c>
      <c r="W26" s="15"/>
      <c r="X26" s="21">
        <f>+P26-T26</f>
        <v>-129.16999999999999</v>
      </c>
      <c r="Y26" s="15"/>
      <c r="Z26" s="20">
        <f>IF(T26=0,0,X26/T26)</f>
        <v>0</v>
      </c>
    </row>
    <row r="27" spans="1:26" x14ac:dyDescent="0.25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128</v>
      </c>
      <c r="C28" s="10"/>
      <c r="D28" s="4"/>
      <c r="E28" s="4"/>
      <c r="F28" s="12">
        <f>IF(D$12=0,0,D28/D$12)</f>
        <v>0</v>
      </c>
      <c r="G28" s="4"/>
      <c r="H28" s="4"/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/>
      <c r="Q28" s="4"/>
      <c r="R28" s="12">
        <f>IF(P$12=0,0,P28/P$12)</f>
        <v>0</v>
      </c>
      <c r="S28" s="4"/>
      <c r="T28" s="4"/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.75" thickBot="1" x14ac:dyDescent="0.3">
      <c r="A30" s="10"/>
      <c r="B30" s="26" t="s">
        <v>126</v>
      </c>
      <c r="C30" s="26"/>
      <c r="D30" s="31">
        <f>+D26-D28</f>
        <v>0</v>
      </c>
      <c r="E30" s="13"/>
      <c r="F30" s="33">
        <f>IF(D$12=0,0,D30/D$12)</f>
        <v>0</v>
      </c>
      <c r="G30" s="13"/>
      <c r="H30" s="31">
        <f>+H26-H28</f>
        <v>0</v>
      </c>
      <c r="I30" s="13"/>
      <c r="J30" s="33">
        <f>IF(H$12=0,0,H30/H$12)</f>
        <v>0</v>
      </c>
      <c r="K30" s="15"/>
      <c r="L30" s="31">
        <f>D30-H30</f>
        <v>0</v>
      </c>
      <c r="M30" s="15"/>
      <c r="N30" s="33">
        <f>IF(H30=0,0,L30/H30)</f>
        <v>0</v>
      </c>
      <c r="O30" s="25"/>
      <c r="P30" s="31">
        <f>+P26-P28</f>
        <v>-129.16999999999999</v>
      </c>
      <c r="Q30" s="13"/>
      <c r="R30" s="33">
        <f>IF(P$12=0,0,P30/P$12)</f>
        <v>0</v>
      </c>
      <c r="S30" s="13"/>
      <c r="T30" s="31">
        <f>+T26-T28</f>
        <v>0</v>
      </c>
      <c r="U30" s="13"/>
      <c r="V30" s="33">
        <f>IF(T$12=0,0,T30/T$12)</f>
        <v>0</v>
      </c>
      <c r="W30" s="15"/>
      <c r="X30" s="31">
        <f>P30-T30</f>
        <v>-129.16999999999999</v>
      </c>
      <c r="Y30" s="15"/>
      <c r="Z30" s="33">
        <f>IF(T30=0,0,X30/T30)</f>
        <v>0</v>
      </c>
    </row>
    <row r="31" spans="1:26" ht="15.75" thickTop="1" x14ac:dyDescent="0.25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6" t="s">
        <v>294</v>
      </c>
      <c r="C33" s="26"/>
      <c r="D33" s="35">
        <f>SUM(D30:D32)</f>
        <v>0</v>
      </c>
      <c r="E33" s="13"/>
      <c r="F33" s="32">
        <f>IF(D$12=0,0,D33/D$12)</f>
        <v>0</v>
      </c>
      <c r="G33" s="13"/>
      <c r="H33" s="35">
        <f>SUM(H30:H32)</f>
        <v>0</v>
      </c>
      <c r="I33" s="13"/>
      <c r="J33" s="32">
        <f>IF(H$12=0,0,H33/H$12)</f>
        <v>0</v>
      </c>
      <c r="K33" s="15"/>
      <c r="L33" s="35">
        <f>+D33-H33</f>
        <v>0</v>
      </c>
      <c r="M33" s="15"/>
      <c r="N33" s="32">
        <f>IF(H33=0,0,L33/H33)</f>
        <v>0</v>
      </c>
      <c r="O33" s="25"/>
      <c r="P33" s="35">
        <f>SUM(P30:P32)</f>
        <v>-129.16999999999999</v>
      </c>
      <c r="Q33" s="13"/>
      <c r="R33" s="32">
        <f>IF(P$12=0,0,P33/P$12)</f>
        <v>0</v>
      </c>
      <c r="S33" s="13"/>
      <c r="T33" s="35">
        <f>SUM(T30:T32)</f>
        <v>0</v>
      </c>
      <c r="U33" s="13"/>
      <c r="V33" s="32">
        <f>IF(T$12=0,0,T33/T$12)</f>
        <v>0</v>
      </c>
      <c r="W33" s="15"/>
      <c r="X33" s="35">
        <f>+P33-T33</f>
        <v>-129.16999999999999</v>
      </c>
      <c r="Y33" s="15"/>
      <c r="Z33" s="32">
        <f>IF(T33=0,0,X33/T33)</f>
        <v>0</v>
      </c>
    </row>
    <row r="34" spans="1:26" ht="15.75" thickTop="1" x14ac:dyDescent="0.25">
      <c r="A34" s="9"/>
      <c r="C34" s="9"/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6" x14ac:dyDescent="0.25">
      <c r="A35" s="9"/>
      <c r="B35" s="59">
        <v>44517.962875613426</v>
      </c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6" x14ac:dyDescent="0.25">
      <c r="A36" s="9"/>
      <c r="B36" s="62" t="s">
        <v>56</v>
      </c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57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","415", " - ", "Outpost")</f>
        <v>Department 415 - Outpost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88464.95</v>
      </c>
      <c r="E12" s="4"/>
      <c r="F12" s="12"/>
      <c r="G12" s="4"/>
      <c r="H12" s="4">
        <f>SUM(OSRRefH13x_0)</f>
        <v>45041</v>
      </c>
      <c r="I12" s="4"/>
      <c r="J12" s="12"/>
      <c r="K12" s="4"/>
      <c r="L12" s="4">
        <f t="shared" ref="L12:L16" si="0">+D12-H12</f>
        <v>43423.95</v>
      </c>
      <c r="M12" s="4"/>
      <c r="N12" s="12">
        <f t="shared" ref="N12:N16" si="1">IF(H12=0,0,L12/H12)</f>
        <v>0.96409826602428894</v>
      </c>
      <c r="O12" s="10"/>
      <c r="P12" s="4">
        <f>SUM(OSRRefP13x_0)</f>
        <v>209397.47</v>
      </c>
      <c r="Q12" s="4"/>
      <c r="R12" s="12"/>
      <c r="S12" s="4"/>
      <c r="T12" s="4">
        <f>SUM(OSRRefT13x_0)</f>
        <v>97607</v>
      </c>
      <c r="U12" s="4"/>
      <c r="V12" s="12"/>
      <c r="W12" s="4"/>
      <c r="X12" s="4">
        <f t="shared" ref="X12:X16" si="2">+P12-T12</f>
        <v>111790.47</v>
      </c>
      <c r="Y12" s="4"/>
      <c r="Z12" s="12">
        <f t="shared" ref="Z12:Z16" si="3">IF(T12=0,0,X12/T12)</f>
        <v>1.1453120165561896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14009</v>
      </c>
      <c r="I13" s="2"/>
      <c r="J13" s="19"/>
      <c r="K13" s="2"/>
      <c r="L13" s="2">
        <f t="shared" si="0"/>
        <v>-14009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30358</v>
      </c>
      <c r="U13" s="2"/>
      <c r="V13" s="19"/>
      <c r="W13" s="2"/>
      <c r="X13" s="2">
        <f t="shared" si="2"/>
        <v>-30358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--32696.1</f>
        <v>32696.1</v>
      </c>
      <c r="E14" s="2"/>
      <c r="F14" s="19"/>
      <c r="G14" s="2"/>
      <c r="H14" s="2"/>
      <c r="I14" s="2"/>
      <c r="J14" s="19"/>
      <c r="K14" s="2"/>
      <c r="L14" s="2">
        <f t="shared" si="0"/>
        <v>32696.1</v>
      </c>
      <c r="M14" s="2"/>
      <c r="N14" s="19">
        <f t="shared" si="1"/>
        <v>0</v>
      </c>
      <c r="O14" s="11"/>
      <c r="P14" s="2">
        <f>--86402.06</f>
        <v>86402.06</v>
      </c>
      <c r="Q14" s="2"/>
      <c r="R14" s="19"/>
      <c r="S14" s="2"/>
      <c r="T14" s="2"/>
      <c r="U14" s="2"/>
      <c r="V14" s="19"/>
      <c r="W14" s="2"/>
      <c r="X14" s="2">
        <f t="shared" si="2"/>
        <v>86402.06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31032</v>
      </c>
      <c r="I15" s="2"/>
      <c r="J15" s="19"/>
      <c r="K15" s="2"/>
      <c r="L15" s="2">
        <f t="shared" si="0"/>
        <v>-31032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67249</v>
      </c>
      <c r="U15" s="2"/>
      <c r="V15" s="19"/>
      <c r="W15" s="2"/>
      <c r="X15" s="2">
        <f t="shared" si="2"/>
        <v>-67249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--55768.85</f>
        <v>55768.85</v>
      </c>
      <c r="E16" s="2"/>
      <c r="F16" s="19"/>
      <c r="G16" s="2"/>
      <c r="H16" s="2"/>
      <c r="I16" s="2"/>
      <c r="J16" s="19"/>
      <c r="K16" s="2"/>
      <c r="L16" s="2">
        <f t="shared" si="0"/>
        <v>55768.85</v>
      </c>
      <c r="M16" s="2"/>
      <c r="N16" s="19">
        <f t="shared" si="1"/>
        <v>0</v>
      </c>
      <c r="O16" s="11"/>
      <c r="P16" s="2">
        <f>--122995.41</f>
        <v>122995.41</v>
      </c>
      <c r="Q16" s="2"/>
      <c r="R16" s="19"/>
      <c r="S16" s="2"/>
      <c r="T16" s="2"/>
      <c r="U16" s="2"/>
      <c r="V16" s="19"/>
      <c r="W16" s="2"/>
      <c r="X16" s="2">
        <f t="shared" si="2"/>
        <v>122995.41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257</v>
      </c>
      <c r="C18" s="10"/>
      <c r="D18" s="4">
        <f>SUM(OSRRefD16x_0)</f>
        <v>30709.83</v>
      </c>
      <c r="E18" s="4"/>
      <c r="F18" s="12">
        <f t="shared" ref="F18:F21" si="4">IF(D$12=0,0,D18/D$12)</f>
        <v>0.34714121242367746</v>
      </c>
      <c r="G18" s="4"/>
      <c r="H18" s="4">
        <f>SUM(OSRRefH16x_0)</f>
        <v>12612</v>
      </c>
      <c r="I18" s="4"/>
      <c r="J18" s="12">
        <f t="shared" ref="J18:J21" si="5">IF(H$12=0,0,H18/H$12)</f>
        <v>0.2800115450367443</v>
      </c>
      <c r="K18" s="4"/>
      <c r="L18" s="4">
        <f t="shared" ref="L18:L21" si="6">+D18-H18</f>
        <v>18097.830000000002</v>
      </c>
      <c r="M18" s="4"/>
      <c r="N18" s="12">
        <f t="shared" ref="N18:N21" si="7">IF(H18=0,0,L18/H18)</f>
        <v>1.4349690770694579</v>
      </c>
      <c r="O18" s="10"/>
      <c r="P18" s="4">
        <f>SUM(OSRRefP16x_0)</f>
        <v>71943.94</v>
      </c>
      <c r="Q18" s="4"/>
      <c r="R18" s="12">
        <f t="shared" ref="R18:R21" si="8">IF(P$12=0,0,P18/P$12)</f>
        <v>0.3435759753926349</v>
      </c>
      <c r="S18" s="4"/>
      <c r="T18" s="4">
        <f>SUM(OSRRefT16x_0)</f>
        <v>31921</v>
      </c>
      <c r="U18" s="4"/>
      <c r="V18" s="12">
        <f t="shared" ref="V18:V21" si="9">IF(T$12=0,0,T18/T$12)</f>
        <v>0.32703597078078417</v>
      </c>
      <c r="W18" s="4"/>
      <c r="X18" s="4">
        <f t="shared" ref="X18:X21" si="10">+P18-T18</f>
        <v>40022.94</v>
      </c>
      <c r="Y18" s="4"/>
      <c r="Z18" s="12">
        <f t="shared" ref="Z18:Z21" si="11">IF(T18=0,0,X18/T18)</f>
        <v>1.253812223927822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12612</v>
      </c>
      <c r="I19" s="2"/>
      <c r="J19" s="19">
        <f t="shared" si="5"/>
        <v>0.2800115450367443</v>
      </c>
      <c r="K19" s="2"/>
      <c r="L19" s="2">
        <f t="shared" si="6"/>
        <v>-12612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31921</v>
      </c>
      <c r="U19" s="2"/>
      <c r="V19" s="19">
        <f t="shared" si="9"/>
        <v>0.32703597078078417</v>
      </c>
      <c r="W19" s="2"/>
      <c r="X19" s="2">
        <f t="shared" si="10"/>
        <v>-31921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30709.83</v>
      </c>
      <c r="E20" s="2"/>
      <c r="F20" s="19">
        <f t="shared" si="4"/>
        <v>0.34714121242367746</v>
      </c>
      <c r="G20" s="2"/>
      <c r="H20" s="2"/>
      <c r="I20" s="2"/>
      <c r="J20" s="19">
        <f t="shared" si="5"/>
        <v>0</v>
      </c>
      <c r="K20" s="2"/>
      <c r="L20" s="2">
        <f t="shared" si="6"/>
        <v>30709.83</v>
      </c>
      <c r="M20" s="2"/>
      <c r="N20" s="19">
        <f t="shared" si="7"/>
        <v>0</v>
      </c>
      <c r="O20" s="11"/>
      <c r="P20" s="2">
        <v>80204.94</v>
      </c>
      <c r="Q20" s="2"/>
      <c r="R20" s="19">
        <f t="shared" si="8"/>
        <v>0.38302726389196584</v>
      </c>
      <c r="S20" s="2"/>
      <c r="T20" s="2"/>
      <c r="U20" s="2"/>
      <c r="V20" s="19">
        <f t="shared" si="9"/>
        <v>0</v>
      </c>
      <c r="W20" s="2"/>
      <c r="X20" s="2">
        <f t="shared" si="10"/>
        <v>80204.94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-8261</v>
      </c>
      <c r="Q21" s="2"/>
      <c r="R21" s="19">
        <f t="shared" si="8"/>
        <v>-3.945128849933096E-2</v>
      </c>
      <c r="S21" s="2"/>
      <c r="T21" s="2"/>
      <c r="U21" s="2"/>
      <c r="V21" s="19">
        <f t="shared" si="9"/>
        <v>0</v>
      </c>
      <c r="W21" s="2"/>
      <c r="X21" s="2">
        <f t="shared" si="10"/>
        <v>-8261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108</v>
      </c>
      <c r="C23" s="26"/>
      <c r="D23" s="21">
        <f>D12-D18</f>
        <v>57755.119999999995</v>
      </c>
      <c r="E23" s="13"/>
      <c r="F23" s="20">
        <f>IF(D$12=0,0,D23/D$12)</f>
        <v>0.65285878757632254</v>
      </c>
      <c r="G23" s="13"/>
      <c r="H23" s="21">
        <f>H12-H18</f>
        <v>32429</v>
      </c>
      <c r="I23" s="13"/>
      <c r="J23" s="20">
        <f>IF(H$12=0,0,H23/H$12)</f>
        <v>0.7199884549632557</v>
      </c>
      <c r="K23" s="15"/>
      <c r="L23" s="21">
        <f>+D23-H23</f>
        <v>25326.119999999995</v>
      </c>
      <c r="M23" s="15"/>
      <c r="N23" s="20">
        <f>IF(H23=0,0,L23/H23)</f>
        <v>0.78097135280150465</v>
      </c>
      <c r="O23" s="25"/>
      <c r="P23" s="21">
        <f>P12-P18</f>
        <v>137453.53</v>
      </c>
      <c r="Q23" s="13"/>
      <c r="R23" s="20">
        <f>IF(P$12=0,0,P23/P$12)</f>
        <v>0.65642402460736515</v>
      </c>
      <c r="S23" s="13"/>
      <c r="T23" s="21">
        <f>T12-T18</f>
        <v>65686</v>
      </c>
      <c r="U23" s="13"/>
      <c r="V23" s="20">
        <f>IF(T$12=0,0,T23/T$12)</f>
        <v>0.67296402921921583</v>
      </c>
      <c r="W23" s="15"/>
      <c r="X23" s="21">
        <f>+P23-T23</f>
        <v>71767.53</v>
      </c>
      <c r="Y23" s="15"/>
      <c r="Z23" s="20">
        <f>IF(T23=0,0,X23/T23)</f>
        <v>1.0925848734890236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295</v>
      </c>
      <c r="C25" s="10"/>
      <c r="D25" s="22">
        <f>SUM(OSRRefD22x_0)</f>
        <v>89762.05</v>
      </c>
      <c r="E25" s="22"/>
      <c r="F25" s="34">
        <f t="shared" ref="F25:F35" si="12">IF(D$12=0,0,D25/D$12)</f>
        <v>1.014662304110272</v>
      </c>
      <c r="G25" s="22"/>
      <c r="H25" s="22">
        <f>SUM(OSRRefH22x_0)</f>
        <v>62942.451793378852</v>
      </c>
      <c r="I25" s="22"/>
      <c r="J25" s="34">
        <f t="shared" ref="J25:J35" si="13">IF(H$12=0,0,H25/H$12)</f>
        <v>1.3974479206362838</v>
      </c>
      <c r="K25" s="4"/>
      <c r="L25" s="22">
        <f t="shared" ref="L25:L35" si="14">+D25-H25</f>
        <v>26819.598206621151</v>
      </c>
      <c r="M25" s="4"/>
      <c r="N25" s="34">
        <f t="shared" ref="N25:N35" si="15">IF(H25=0,0,L25/H25)</f>
        <v>0.4260971322607805</v>
      </c>
      <c r="O25" s="10"/>
      <c r="P25" s="22">
        <f>SUM(OSRRefP22x_0)</f>
        <v>305546.3</v>
      </c>
      <c r="Q25" s="22"/>
      <c r="R25" s="34">
        <f t="shared" ref="R25:R35" si="16">IF(P$12=0,0,P25/P$12)</f>
        <v>1.4591690147927765</v>
      </c>
      <c r="S25" s="22"/>
      <c r="T25" s="22">
        <f>SUM(OSRRefT22x_0)</f>
        <v>231526.1350444837</v>
      </c>
      <c r="U25" s="22"/>
      <c r="V25" s="34">
        <f t="shared" ref="V25:V35" si="17">IF(T$12=0,0,T25/T$12)</f>
        <v>2.3720238819396529</v>
      </c>
      <c r="W25" s="4"/>
      <c r="X25" s="22">
        <f t="shared" ref="X25:X35" si="18">+P25-T25</f>
        <v>74020.164955516288</v>
      </c>
      <c r="Y25" s="4"/>
      <c r="Z25" s="34">
        <f t="shared" ref="Z25:Z35" si="19">IF(T25=0,0,X25/T25)</f>
        <v>0.31970544034389298</v>
      </c>
    </row>
    <row r="26" spans="1:26" s="28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16720.509999999998</v>
      </c>
      <c r="E26" s="1"/>
      <c r="F26" s="5">
        <f t="shared" si="12"/>
        <v>0.18900717176689749</v>
      </c>
      <c r="G26" s="1"/>
      <c r="H26" s="1">
        <f>SUM(OSRRefH22_0x_0)</f>
        <v>7871.6334183788513</v>
      </c>
      <c r="I26" s="1"/>
      <c r="J26" s="5">
        <f t="shared" si="13"/>
        <v>0.1747659558708477</v>
      </c>
      <c r="K26" s="1"/>
      <c r="L26" s="1">
        <f t="shared" si="14"/>
        <v>8848.8765816211471</v>
      </c>
      <c r="M26" s="1"/>
      <c r="N26" s="5">
        <f t="shared" si="15"/>
        <v>1.1241474432689673</v>
      </c>
      <c r="O26" s="14"/>
      <c r="P26" s="1">
        <f>SUM(OSRRefP22_0x_0)</f>
        <v>48861.61</v>
      </c>
      <c r="Q26" s="1"/>
      <c r="R26" s="5">
        <f t="shared" si="16"/>
        <v>0.23334384126035526</v>
      </c>
      <c r="S26" s="1"/>
      <c r="T26" s="1">
        <f>SUM(OSRRefT22_0x_0)</f>
        <v>27987.996054483698</v>
      </c>
      <c r="U26" s="1"/>
      <c r="V26" s="5">
        <f t="shared" si="17"/>
        <v>0.28674168916659354</v>
      </c>
      <c r="W26" s="1"/>
      <c r="X26" s="1">
        <f t="shared" si="18"/>
        <v>20873.613945516303</v>
      </c>
      <c r="Y26" s="1"/>
      <c r="Z26" s="5">
        <f t="shared" si="19"/>
        <v>0.74580594855315963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7">
        <v>2687.05</v>
      </c>
      <c r="E27" s="2"/>
      <c r="F27" s="6">
        <f t="shared" si="12"/>
        <v>3.0374176439369495E-2</v>
      </c>
      <c r="G27" s="2"/>
      <c r="H27" s="7">
        <v>1247.785872225</v>
      </c>
      <c r="I27" s="2"/>
      <c r="J27" s="6">
        <f t="shared" si="13"/>
        <v>2.7703334122799229E-2</v>
      </c>
      <c r="K27" s="2"/>
      <c r="L27" s="7">
        <f t="shared" si="14"/>
        <v>1439.2641277750001</v>
      </c>
      <c r="M27" s="2"/>
      <c r="N27" s="6">
        <f t="shared" si="15"/>
        <v>1.1534544185923215</v>
      </c>
      <c r="O27" s="11"/>
      <c r="P27" s="7">
        <v>6824.16</v>
      </c>
      <c r="Q27" s="2"/>
      <c r="R27" s="6">
        <f t="shared" si="16"/>
        <v>3.2589505498800915E-2</v>
      </c>
      <c r="S27" s="2"/>
      <c r="T27" s="7">
        <v>4112.8124441760001</v>
      </c>
      <c r="U27" s="2"/>
      <c r="V27" s="6">
        <f t="shared" si="17"/>
        <v>4.2136449682666201E-2</v>
      </c>
      <c r="W27" s="2"/>
      <c r="X27" s="7">
        <f t="shared" si="18"/>
        <v>2711.3475558239998</v>
      </c>
      <c r="Y27" s="2"/>
      <c r="Z27" s="6">
        <f t="shared" si="19"/>
        <v>0.65924415290647098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1584.55</v>
      </c>
      <c r="E28" s="2"/>
      <c r="F28" s="6">
        <f t="shared" si="12"/>
        <v>1.7911613582554445E-2</v>
      </c>
      <c r="G28" s="2"/>
      <c r="H28" s="7">
        <v>835.96153174999995</v>
      </c>
      <c r="I28" s="2"/>
      <c r="J28" s="6">
        <f t="shared" si="13"/>
        <v>1.8560012693989918E-2</v>
      </c>
      <c r="K28" s="2"/>
      <c r="L28" s="7">
        <f t="shared" si="14"/>
        <v>748.58846825000001</v>
      </c>
      <c r="M28" s="2"/>
      <c r="N28" s="6">
        <f t="shared" si="15"/>
        <v>0.89548195678682319</v>
      </c>
      <c r="O28" s="11"/>
      <c r="P28" s="7">
        <v>3790.92</v>
      </c>
      <c r="Q28" s="2"/>
      <c r="R28" s="6">
        <f t="shared" si="16"/>
        <v>1.8103943662738618E-2</v>
      </c>
      <c r="S28" s="2"/>
      <c r="T28" s="7">
        <v>2544.3853916799999</v>
      </c>
      <c r="U28" s="2"/>
      <c r="V28" s="6">
        <f t="shared" si="17"/>
        <v>2.6067652849488254E-2</v>
      </c>
      <c r="W28" s="2"/>
      <c r="X28" s="7">
        <f t="shared" si="18"/>
        <v>1246.5346083200002</v>
      </c>
      <c r="Y28" s="2"/>
      <c r="Z28" s="6">
        <f t="shared" si="19"/>
        <v>0.48991580143326546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7">
        <v>7197.43</v>
      </c>
      <c r="E29" s="2"/>
      <c r="F29" s="6">
        <f t="shared" si="12"/>
        <v>8.1359114541973976E-2</v>
      </c>
      <c r="G29" s="2"/>
      <c r="H29" s="7">
        <v>4258.1538461538503</v>
      </c>
      <c r="I29" s="2"/>
      <c r="J29" s="6">
        <f t="shared" si="13"/>
        <v>9.4539505032167362E-2</v>
      </c>
      <c r="K29" s="2"/>
      <c r="L29" s="7">
        <f t="shared" si="14"/>
        <v>2939.27615384615</v>
      </c>
      <c r="M29" s="2"/>
      <c r="N29" s="6">
        <f t="shared" si="15"/>
        <v>0.69027007009176811</v>
      </c>
      <c r="O29" s="11"/>
      <c r="P29" s="7">
        <v>22910.7</v>
      </c>
      <c r="Q29" s="2"/>
      <c r="R29" s="6">
        <f t="shared" si="16"/>
        <v>0.10941249672214283</v>
      </c>
      <c r="S29" s="2"/>
      <c r="T29" s="7">
        <v>16028.907692307699</v>
      </c>
      <c r="U29" s="2"/>
      <c r="V29" s="6">
        <f t="shared" si="17"/>
        <v>0.16421883361139775</v>
      </c>
      <c r="W29" s="2"/>
      <c r="X29" s="7">
        <f t="shared" si="18"/>
        <v>6881.7923076923016</v>
      </c>
      <c r="Y29" s="2"/>
      <c r="Z29" s="6">
        <f t="shared" si="19"/>
        <v>0.42933632408369821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114.44</v>
      </c>
      <c r="E30" s="2"/>
      <c r="F30" s="6">
        <f t="shared" si="12"/>
        <v>1.2936196764933457E-3</v>
      </c>
      <c r="G30" s="2"/>
      <c r="H30" s="7">
        <v>46.319768250000003</v>
      </c>
      <c r="I30" s="2"/>
      <c r="J30" s="6">
        <f t="shared" si="13"/>
        <v>1.0283912046801804E-3</v>
      </c>
      <c r="K30" s="2"/>
      <c r="L30" s="7">
        <f t="shared" si="14"/>
        <v>68.120231749999988</v>
      </c>
      <c r="M30" s="2"/>
      <c r="N30" s="6">
        <f t="shared" si="15"/>
        <v>1.4706513940729828</v>
      </c>
      <c r="O30" s="11"/>
      <c r="P30" s="7">
        <v>273.8</v>
      </c>
      <c r="Q30" s="2"/>
      <c r="R30" s="6">
        <f t="shared" si="16"/>
        <v>1.3075611658536275E-3</v>
      </c>
      <c r="S30" s="2"/>
      <c r="T30" s="7">
        <v>140.98177631999999</v>
      </c>
      <c r="U30" s="2"/>
      <c r="V30" s="6">
        <f t="shared" si="17"/>
        <v>1.4443818201563413E-3</v>
      </c>
      <c r="W30" s="2"/>
      <c r="X30" s="7">
        <f t="shared" si="18"/>
        <v>132.81822368000002</v>
      </c>
      <c r="Y30" s="2"/>
      <c r="Z30" s="6">
        <f t="shared" si="19"/>
        <v>0.94209497955629118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7">
        <v>1305.92</v>
      </c>
      <c r="E31" s="2"/>
      <c r="F31" s="6">
        <f t="shared" si="12"/>
        <v>1.4762004613126442E-2</v>
      </c>
      <c r="G31" s="2"/>
      <c r="H31" s="7">
        <v>546.87077499999998</v>
      </c>
      <c r="I31" s="2"/>
      <c r="J31" s="6">
        <f t="shared" si="13"/>
        <v>1.2141621522612731E-2</v>
      </c>
      <c r="K31" s="2"/>
      <c r="L31" s="7">
        <f t="shared" si="14"/>
        <v>759.04922500000009</v>
      </c>
      <c r="M31" s="2"/>
      <c r="N31" s="6">
        <f t="shared" si="15"/>
        <v>1.3879864489010225</v>
      </c>
      <c r="O31" s="11"/>
      <c r="P31" s="7">
        <v>3917.75</v>
      </c>
      <c r="Q31" s="2"/>
      <c r="R31" s="6">
        <f t="shared" si="16"/>
        <v>1.8709633884306243E-2</v>
      </c>
      <c r="S31" s="2"/>
      <c r="T31" s="7">
        <v>1968.73479</v>
      </c>
      <c r="U31" s="2"/>
      <c r="V31" s="6">
        <f t="shared" si="17"/>
        <v>2.0170016392266947E-2</v>
      </c>
      <c r="W31" s="2"/>
      <c r="X31" s="7">
        <f t="shared" si="18"/>
        <v>1949.01521</v>
      </c>
      <c r="Y31" s="2"/>
      <c r="Z31" s="6">
        <f t="shared" si="19"/>
        <v>0.98998362801319728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7">
        <v>1713.81</v>
      </c>
      <c r="E33" s="2"/>
      <c r="F33" s="6">
        <f t="shared" si="12"/>
        <v>1.9372757233231917E-2</v>
      </c>
      <c r="G33" s="2"/>
      <c r="H33" s="7">
        <v>315.728475</v>
      </c>
      <c r="I33" s="2"/>
      <c r="J33" s="6">
        <f t="shared" si="13"/>
        <v>7.0098016251859416E-3</v>
      </c>
      <c r="K33" s="2"/>
      <c r="L33" s="7">
        <f t="shared" si="14"/>
        <v>1398.0815250000001</v>
      </c>
      <c r="M33" s="2"/>
      <c r="N33" s="6">
        <f t="shared" si="15"/>
        <v>4.4281135079754845</v>
      </c>
      <c r="O33" s="11"/>
      <c r="P33" s="7">
        <v>4673.3500000000004</v>
      </c>
      <c r="Q33" s="2"/>
      <c r="R33" s="6">
        <f t="shared" si="16"/>
        <v>2.231808244865614E-2</v>
      </c>
      <c r="S33" s="2"/>
      <c r="T33" s="7">
        <v>1131.6241259999999</v>
      </c>
      <c r="U33" s="2"/>
      <c r="V33" s="6">
        <f t="shared" si="17"/>
        <v>1.1593677973915804E-2</v>
      </c>
      <c r="W33" s="2"/>
      <c r="X33" s="7">
        <f t="shared" si="18"/>
        <v>3541.7258740000007</v>
      </c>
      <c r="Y33" s="2"/>
      <c r="Z33" s="6">
        <f t="shared" si="19"/>
        <v>3.1297723268936393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7">
        <v>1115.55</v>
      </c>
      <c r="E34" s="2"/>
      <c r="F34" s="6">
        <f t="shared" si="12"/>
        <v>1.2610078906956935E-2</v>
      </c>
      <c r="G34" s="2"/>
      <c r="H34" s="7">
        <v>325.81315000000001</v>
      </c>
      <c r="I34" s="2"/>
      <c r="J34" s="6">
        <f t="shared" si="13"/>
        <v>7.2337015163961727E-3</v>
      </c>
      <c r="K34" s="2"/>
      <c r="L34" s="7">
        <f t="shared" si="14"/>
        <v>789.73685</v>
      </c>
      <c r="M34" s="2"/>
      <c r="N34" s="6">
        <f t="shared" si="15"/>
        <v>2.4238949532884106</v>
      </c>
      <c r="O34" s="11"/>
      <c r="P34" s="7">
        <v>3824.74</v>
      </c>
      <c r="Q34" s="2"/>
      <c r="R34" s="6">
        <f t="shared" si="16"/>
        <v>1.8265454687680802E-2</v>
      </c>
      <c r="S34" s="2"/>
      <c r="T34" s="7">
        <v>1048.5498339999999</v>
      </c>
      <c r="U34" s="2"/>
      <c r="V34" s="6">
        <f t="shared" si="17"/>
        <v>1.0742567992049749E-2</v>
      </c>
      <c r="W34" s="2"/>
      <c r="X34" s="7">
        <f t="shared" si="18"/>
        <v>2776.1901659999999</v>
      </c>
      <c r="Y34" s="2"/>
      <c r="Z34" s="6">
        <f t="shared" si="19"/>
        <v>2.647647327747324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7">
        <v>1001.76</v>
      </c>
      <c r="E35" s="2"/>
      <c r="F35" s="6">
        <f t="shared" si="12"/>
        <v>1.1323806773190965E-2</v>
      </c>
      <c r="G35" s="2"/>
      <c r="H35" s="7">
        <v>295</v>
      </c>
      <c r="I35" s="2"/>
      <c r="J35" s="6">
        <f t="shared" si="13"/>
        <v>6.5495881530161408E-3</v>
      </c>
      <c r="K35" s="2"/>
      <c r="L35" s="7">
        <f t="shared" si="14"/>
        <v>706.76</v>
      </c>
      <c r="M35" s="2"/>
      <c r="N35" s="6">
        <f t="shared" si="15"/>
        <v>2.3957966101694916</v>
      </c>
      <c r="O35" s="11"/>
      <c r="P35" s="7">
        <v>2646.19</v>
      </c>
      <c r="Q35" s="2"/>
      <c r="R35" s="6">
        <f t="shared" si="16"/>
        <v>1.263716319017608E-2</v>
      </c>
      <c r="S35" s="2"/>
      <c r="T35" s="7">
        <v>1012</v>
      </c>
      <c r="U35" s="2"/>
      <c r="V35" s="6">
        <f t="shared" si="17"/>
        <v>1.0368108844652535E-2</v>
      </c>
      <c r="W35" s="2"/>
      <c r="X35" s="7">
        <f t="shared" si="18"/>
        <v>1634.19</v>
      </c>
      <c r="Y35" s="2"/>
      <c r="Z35" s="6">
        <f t="shared" si="19"/>
        <v>1.6148122529644269</v>
      </c>
    </row>
    <row r="36" spans="1:26" s="28" customFormat="1" outlineLevel="1" collapsed="1" x14ac:dyDescent="0.25">
      <c r="A36" s="29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34206.479999999996</v>
      </c>
      <c r="E36" s="1"/>
      <c r="F36" s="5">
        <f t="shared" ref="F36:F46" si="20">IF(D$12=0,0,D36/D$12)</f>
        <v>0.38666703592778834</v>
      </c>
      <c r="G36" s="1"/>
      <c r="H36" s="1">
        <f>SUM(OSRRefH22_1x_0)</f>
        <v>21530.818374999999</v>
      </c>
      <c r="I36" s="1"/>
      <c r="J36" s="5">
        <f t="shared" ref="J36:J46" si="21">IF(H$12=0,0,H36/H$12)</f>
        <v>0.47802709475810923</v>
      </c>
      <c r="K36" s="1"/>
      <c r="L36" s="1">
        <f t="shared" ref="L36:L46" si="22">+D36-H36</f>
        <v>12675.661624999997</v>
      </c>
      <c r="M36" s="1"/>
      <c r="N36" s="5">
        <f t="shared" ref="N36:N46" si="23">IF(H36=0,0,L36/H36)</f>
        <v>0.58872177565336026</v>
      </c>
      <c r="O36" s="14"/>
      <c r="P36" s="1">
        <f>SUM(OSRRefP22_1x_0)</f>
        <v>101149.74</v>
      </c>
      <c r="Q36" s="1"/>
      <c r="R36" s="5">
        <f t="shared" ref="R36:R46" si="24">IF(P$12=0,0,P36/P$12)</f>
        <v>0.48305139503356942</v>
      </c>
      <c r="S36" s="1"/>
      <c r="T36" s="1">
        <f>SUM(OSRRefT22_1x_0)</f>
        <v>65248.138989999999</v>
      </c>
      <c r="U36" s="1"/>
      <c r="V36" s="5">
        <f t="shared" ref="V36:V46" si="25">IF(T$12=0,0,T36/T$12)</f>
        <v>0.66847807011792182</v>
      </c>
      <c r="W36" s="1"/>
      <c r="X36" s="1">
        <f t="shared" ref="X36:X46" si="26">+P36-T36</f>
        <v>35901.601010000006</v>
      </c>
      <c r="Y36" s="1"/>
      <c r="Z36" s="5">
        <f t="shared" ref="Z36:Z46" si="27">IF(T36=0,0,X36/T36)</f>
        <v>0.55023180071852051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7">
        <v>10929.58</v>
      </c>
      <c r="E38" s="2"/>
      <c r="F38" s="6">
        <f t="shared" si="20"/>
        <v>0.12354700929577195</v>
      </c>
      <c r="G38" s="2"/>
      <c r="H38" s="7">
        <v>6041.0143749999997</v>
      </c>
      <c r="I38" s="2"/>
      <c r="J38" s="6">
        <f t="shared" si="21"/>
        <v>0.13412256333118713</v>
      </c>
      <c r="K38" s="2"/>
      <c r="L38" s="7">
        <f t="shared" si="22"/>
        <v>4888.5656250000002</v>
      </c>
      <c r="M38" s="2"/>
      <c r="N38" s="6">
        <f t="shared" si="23"/>
        <v>0.80922926540793083</v>
      </c>
      <c r="O38" s="11"/>
      <c r="P38" s="7">
        <v>40972.89</v>
      </c>
      <c r="Q38" s="2"/>
      <c r="R38" s="6">
        <f t="shared" si="24"/>
        <v>0.19567041569317908</v>
      </c>
      <c r="S38" s="2"/>
      <c r="T38" s="7">
        <v>21747.651750000001</v>
      </c>
      <c r="U38" s="2"/>
      <c r="V38" s="6">
        <f t="shared" si="25"/>
        <v>0.22280832061225117</v>
      </c>
      <c r="W38" s="2"/>
      <c r="X38" s="7">
        <f t="shared" si="26"/>
        <v>19225.238249999999</v>
      </c>
      <c r="Y38" s="2"/>
      <c r="Z38" s="6">
        <f t="shared" si="27"/>
        <v>0.88401444307659549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7">
        <v>6406.54</v>
      </c>
      <c r="E40" s="2"/>
      <c r="F40" s="6">
        <f t="shared" si="20"/>
        <v>7.2418963668662004E-2</v>
      </c>
      <c r="G40" s="2"/>
      <c r="H40" s="7">
        <v>9737.3040000000001</v>
      </c>
      <c r="I40" s="2"/>
      <c r="J40" s="6">
        <f t="shared" si="21"/>
        <v>0.21618756244310738</v>
      </c>
      <c r="K40" s="2"/>
      <c r="L40" s="7">
        <f t="shared" si="22"/>
        <v>-3330.7640000000001</v>
      </c>
      <c r="M40" s="2"/>
      <c r="N40" s="6">
        <f t="shared" si="23"/>
        <v>-0.34206223817188003</v>
      </c>
      <c r="O40" s="11"/>
      <c r="P40" s="7">
        <v>17770.13</v>
      </c>
      <c r="Q40" s="2"/>
      <c r="R40" s="6">
        <f t="shared" si="24"/>
        <v>8.4863155223413159E-2</v>
      </c>
      <c r="S40" s="2"/>
      <c r="T40" s="7">
        <v>29309.487239999999</v>
      </c>
      <c r="U40" s="2"/>
      <c r="V40" s="6">
        <f t="shared" si="25"/>
        <v>0.30028058684315673</v>
      </c>
      <c r="W40" s="2"/>
      <c r="X40" s="7">
        <f t="shared" si="26"/>
        <v>-11539.357239999998</v>
      </c>
      <c r="Y40" s="2"/>
      <c r="Z40" s="6">
        <f t="shared" si="27"/>
        <v>-0.39370723702909782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7">
        <v>13475.55</v>
      </c>
      <c r="E41" s="2"/>
      <c r="F41" s="6">
        <f t="shared" si="20"/>
        <v>0.15232642984594463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13475.55</v>
      </c>
      <c r="M41" s="2"/>
      <c r="N41" s="6">
        <f t="shared" si="23"/>
        <v>0</v>
      </c>
      <c r="O41" s="11"/>
      <c r="P41" s="7">
        <v>25623.45</v>
      </c>
      <c r="Q41" s="2"/>
      <c r="R41" s="6">
        <f t="shared" si="24"/>
        <v>0.12236752430676455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25623.45</v>
      </c>
      <c r="Y41" s="2"/>
      <c r="Z41" s="6">
        <f t="shared" si="27"/>
        <v>0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7">
        <v>3394.81</v>
      </c>
      <c r="E43" s="2"/>
      <c r="F43" s="6">
        <f t="shared" si="20"/>
        <v>3.8374633117409775E-2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3394.81</v>
      </c>
      <c r="M43" s="2"/>
      <c r="N43" s="6">
        <f t="shared" si="23"/>
        <v>0</v>
      </c>
      <c r="O43" s="11"/>
      <c r="P43" s="7">
        <v>16783.27</v>
      </c>
      <c r="Q43" s="2"/>
      <c r="R43" s="6">
        <f t="shared" si="24"/>
        <v>8.0150299810212614E-2</v>
      </c>
      <c r="S43" s="2"/>
      <c r="T43" s="7">
        <v>798</v>
      </c>
      <c r="U43" s="2"/>
      <c r="V43" s="6">
        <f t="shared" si="25"/>
        <v>8.1756431403485399E-3</v>
      </c>
      <c r="W43" s="2"/>
      <c r="X43" s="7">
        <f t="shared" si="26"/>
        <v>15985.27</v>
      </c>
      <c r="Y43" s="2"/>
      <c r="Z43" s="6">
        <f t="shared" si="27"/>
        <v>20.031666666666666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5752.5</v>
      </c>
      <c r="I44" s="2"/>
      <c r="J44" s="6">
        <f t="shared" si="21"/>
        <v>0.12771696898381474</v>
      </c>
      <c r="K44" s="2"/>
      <c r="L44" s="7">
        <f t="shared" si="22"/>
        <v>-5752.5</v>
      </c>
      <c r="M44" s="2"/>
      <c r="N44" s="6">
        <f t="shared" si="23"/>
        <v>-1</v>
      </c>
      <c r="O44" s="11"/>
      <c r="P44" s="7"/>
      <c r="Q44" s="2"/>
      <c r="R44" s="6">
        <f t="shared" si="24"/>
        <v>0</v>
      </c>
      <c r="S44" s="2"/>
      <c r="T44" s="7">
        <v>13393</v>
      </c>
      <c r="U44" s="2"/>
      <c r="V44" s="6">
        <f t="shared" si="25"/>
        <v>0.13721351952216543</v>
      </c>
      <c r="W44" s="2"/>
      <c r="X44" s="7">
        <f t="shared" si="26"/>
        <v>-13393</v>
      </c>
      <c r="Y44" s="2"/>
      <c r="Z44" s="6">
        <f t="shared" si="27"/>
        <v>-1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8" customFormat="1" outlineLevel="1" collapsed="1" x14ac:dyDescent="0.25">
      <c r="A47" s="29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50.23</v>
      </c>
      <c r="E47" s="1"/>
      <c r="F47" s="5">
        <f t="shared" ref="F47:F55" si="28">IF(D$12=0,0,D47/D$12)</f>
        <v>5.6779549414768225E-4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50.23</v>
      </c>
      <c r="M47" s="1"/>
      <c r="N47" s="5">
        <f t="shared" ref="N47:N55" si="31">IF(H47=0,0,L47/H47)</f>
        <v>0</v>
      </c>
      <c r="O47" s="14"/>
      <c r="P47" s="1">
        <f>SUM(OSRRefP22_2x_0)</f>
        <v>259.68</v>
      </c>
      <c r="Q47" s="1"/>
      <c r="R47" s="5">
        <f t="shared" ref="R47:R55" si="32">IF(P$12=0,0,P47/P$12)</f>
        <v>1.2401295965992331E-3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259.68</v>
      </c>
      <c r="Y47" s="1"/>
      <c r="Z47" s="5">
        <f t="shared" ref="Z47:Z55" si="35">IF(T47=0,0,X47/T47)</f>
        <v>0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7">
        <v>50.23</v>
      </c>
      <c r="E48" s="2"/>
      <c r="F48" s="6">
        <f t="shared" si="28"/>
        <v>5.6779549414768225E-4</v>
      </c>
      <c r="G48" s="2"/>
      <c r="H48" s="7"/>
      <c r="I48" s="2"/>
      <c r="J48" s="6">
        <f t="shared" si="29"/>
        <v>0</v>
      </c>
      <c r="K48" s="2"/>
      <c r="L48" s="7">
        <f t="shared" si="30"/>
        <v>50.23</v>
      </c>
      <c r="M48" s="2"/>
      <c r="N48" s="6">
        <f t="shared" si="31"/>
        <v>0</v>
      </c>
      <c r="O48" s="11"/>
      <c r="P48" s="7">
        <v>259.68</v>
      </c>
      <c r="Q48" s="2"/>
      <c r="R48" s="6">
        <f t="shared" si="32"/>
        <v>1.2401295965992331E-3</v>
      </c>
      <c r="S48" s="2"/>
      <c r="T48" s="7"/>
      <c r="U48" s="2"/>
      <c r="V48" s="6">
        <f t="shared" si="33"/>
        <v>0</v>
      </c>
      <c r="W48" s="2"/>
      <c r="X48" s="7">
        <f t="shared" si="34"/>
        <v>259.68</v>
      </c>
      <c r="Y48" s="2"/>
      <c r="Z48" s="6">
        <f t="shared" si="35"/>
        <v>0</v>
      </c>
    </row>
    <row r="49" spans="1:26" s="28" customFormat="1" outlineLevel="1" collapsed="1" x14ac:dyDescent="0.25">
      <c r="A49" s="29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-1.28</v>
      </c>
      <c r="E49" s="1"/>
      <c r="F49" s="5">
        <f t="shared" si="28"/>
        <v>-1.4469007216982545E-5</v>
      </c>
      <c r="G49" s="1"/>
      <c r="H49" s="1">
        <f>SUM(OSRRefH22_3x_0)</f>
        <v>10</v>
      </c>
      <c r="I49" s="1"/>
      <c r="J49" s="5">
        <f t="shared" si="29"/>
        <v>2.2201993739037764E-4</v>
      </c>
      <c r="K49" s="1"/>
      <c r="L49" s="1">
        <f t="shared" si="30"/>
        <v>-11.28</v>
      </c>
      <c r="M49" s="1"/>
      <c r="N49" s="5">
        <f t="shared" si="31"/>
        <v>-1.1279999999999999</v>
      </c>
      <c r="O49" s="14"/>
      <c r="P49" s="1">
        <f>SUM(OSRRefP22_3x_0)</f>
        <v>-22.06</v>
      </c>
      <c r="Q49" s="1"/>
      <c r="R49" s="5">
        <f t="shared" si="32"/>
        <v>-1.0534988794277218E-4</v>
      </c>
      <c r="S49" s="1"/>
      <c r="T49" s="1">
        <f>SUM(OSRRefT22_3x_0)</f>
        <v>40</v>
      </c>
      <c r="U49" s="1"/>
      <c r="V49" s="5">
        <f t="shared" si="33"/>
        <v>4.0980667370168122E-4</v>
      </c>
      <c r="W49" s="1"/>
      <c r="X49" s="1">
        <f t="shared" si="34"/>
        <v>-62.06</v>
      </c>
      <c r="Y49" s="1"/>
      <c r="Z49" s="5">
        <f t="shared" si="35"/>
        <v>-1.5515000000000001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7">
        <v>-1.28</v>
      </c>
      <c r="E50" s="2"/>
      <c r="F50" s="6">
        <f t="shared" si="28"/>
        <v>-1.4469007216982545E-5</v>
      </c>
      <c r="G50" s="2"/>
      <c r="H50" s="7">
        <v>10</v>
      </c>
      <c r="I50" s="2"/>
      <c r="J50" s="6">
        <f t="shared" si="29"/>
        <v>2.2201993739037764E-4</v>
      </c>
      <c r="K50" s="2"/>
      <c r="L50" s="7">
        <f t="shared" si="30"/>
        <v>-11.28</v>
      </c>
      <c r="M50" s="2"/>
      <c r="N50" s="6">
        <f t="shared" si="31"/>
        <v>-1.1279999999999999</v>
      </c>
      <c r="O50" s="11"/>
      <c r="P50" s="7">
        <v>-22.06</v>
      </c>
      <c r="Q50" s="2"/>
      <c r="R50" s="6">
        <f t="shared" si="32"/>
        <v>-1.0534988794277218E-4</v>
      </c>
      <c r="S50" s="2"/>
      <c r="T50" s="7">
        <v>40</v>
      </c>
      <c r="U50" s="2"/>
      <c r="V50" s="6">
        <f t="shared" si="33"/>
        <v>4.0980667370168122E-4</v>
      </c>
      <c r="W50" s="2"/>
      <c r="X50" s="7">
        <f t="shared" si="34"/>
        <v>-62.06</v>
      </c>
      <c r="Y50" s="2"/>
      <c r="Z50" s="6">
        <f t="shared" si="35"/>
        <v>-1.5515000000000001</v>
      </c>
    </row>
    <row r="51" spans="1:26" s="28" customFormat="1" outlineLevel="1" collapsed="1" x14ac:dyDescent="0.25">
      <c r="A51" s="29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3141.89</v>
      </c>
      <c r="E51" s="1"/>
      <c r="F51" s="5">
        <f t="shared" si="28"/>
        <v>3.5515647722629134E-2</v>
      </c>
      <c r="G51" s="1"/>
      <c r="H51" s="1">
        <f>SUM(OSRRefH22_4x_0)</f>
        <v>2259</v>
      </c>
      <c r="I51" s="1"/>
      <c r="J51" s="5">
        <f t="shared" si="29"/>
        <v>5.015430385648631E-2</v>
      </c>
      <c r="K51" s="1"/>
      <c r="L51" s="1">
        <f t="shared" si="30"/>
        <v>882.88999999999987</v>
      </c>
      <c r="M51" s="1"/>
      <c r="N51" s="5">
        <f t="shared" si="31"/>
        <v>0.39083222664895967</v>
      </c>
      <c r="O51" s="14"/>
      <c r="P51" s="1">
        <f>SUM(OSRRefP22_4x_0)</f>
        <v>7149.98</v>
      </c>
      <c r="Q51" s="1"/>
      <c r="R51" s="5">
        <f t="shared" si="32"/>
        <v>3.4145493734952959E-2</v>
      </c>
      <c r="S51" s="1"/>
      <c r="T51" s="1">
        <f>SUM(OSRRefT22_4x_0)</f>
        <v>4895</v>
      </c>
      <c r="U51" s="1"/>
      <c r="V51" s="5">
        <f t="shared" si="33"/>
        <v>5.015009169424324E-2</v>
      </c>
      <c r="W51" s="1"/>
      <c r="X51" s="1">
        <f t="shared" si="34"/>
        <v>2254.9799999999996</v>
      </c>
      <c r="Y51" s="1"/>
      <c r="Z51" s="5">
        <f t="shared" si="35"/>
        <v>0.46067007150153211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7">
        <v>3141.89</v>
      </c>
      <c r="E52" s="2"/>
      <c r="F52" s="6">
        <f t="shared" si="28"/>
        <v>3.5515647722629134E-2</v>
      </c>
      <c r="G52" s="2"/>
      <c r="H52" s="7">
        <v>2259</v>
      </c>
      <c r="I52" s="2"/>
      <c r="J52" s="6">
        <f t="shared" si="29"/>
        <v>5.015430385648631E-2</v>
      </c>
      <c r="K52" s="2"/>
      <c r="L52" s="7">
        <f t="shared" si="30"/>
        <v>882.88999999999987</v>
      </c>
      <c r="M52" s="2"/>
      <c r="N52" s="6">
        <f t="shared" si="31"/>
        <v>0.39083222664895967</v>
      </c>
      <c r="O52" s="11"/>
      <c r="P52" s="7">
        <v>7149.98</v>
      </c>
      <c r="Q52" s="2"/>
      <c r="R52" s="6">
        <f t="shared" si="32"/>
        <v>3.4145493734952959E-2</v>
      </c>
      <c r="S52" s="2"/>
      <c r="T52" s="7">
        <v>4895</v>
      </c>
      <c r="U52" s="2"/>
      <c r="V52" s="6">
        <f t="shared" si="33"/>
        <v>5.015009169424324E-2</v>
      </c>
      <c r="W52" s="2"/>
      <c r="X52" s="7">
        <f t="shared" si="34"/>
        <v>2254.9799999999996</v>
      </c>
      <c r="Y52" s="2"/>
      <c r="Z52" s="6">
        <f t="shared" si="35"/>
        <v>0.46067007150153211</v>
      </c>
    </row>
    <row r="53" spans="1:26" s="28" customFormat="1" outlineLevel="1" collapsed="1" x14ac:dyDescent="0.25">
      <c r="A53" s="29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14007.34</v>
      </c>
      <c r="E53" s="1"/>
      <c r="F53" s="5">
        <f t="shared" si="28"/>
        <v>0.15833773714900648</v>
      </c>
      <c r="G53" s="1"/>
      <c r="H53" s="1">
        <f>SUM(OSRRefH22_5x_0)</f>
        <v>13902</v>
      </c>
      <c r="I53" s="1"/>
      <c r="J53" s="5">
        <f t="shared" si="29"/>
        <v>0.30865211696010303</v>
      </c>
      <c r="K53" s="1"/>
      <c r="L53" s="1">
        <f t="shared" si="30"/>
        <v>105.34000000000015</v>
      </c>
      <c r="M53" s="1"/>
      <c r="N53" s="5">
        <f t="shared" si="31"/>
        <v>7.577327003308887E-3</v>
      </c>
      <c r="O53" s="14"/>
      <c r="P53" s="1">
        <f>SUM(OSRRefP22_5x_0)</f>
        <v>56029.36</v>
      </c>
      <c r="Q53" s="1"/>
      <c r="R53" s="5">
        <f t="shared" si="32"/>
        <v>0.26757419752970274</v>
      </c>
      <c r="S53" s="1"/>
      <c r="T53" s="1">
        <f>SUM(OSRRefT22_5x_0)</f>
        <v>55608</v>
      </c>
      <c r="U53" s="1"/>
      <c r="V53" s="5">
        <f t="shared" si="33"/>
        <v>0.56971323778007721</v>
      </c>
      <c r="W53" s="1"/>
      <c r="X53" s="1">
        <f t="shared" si="34"/>
        <v>421.36000000000058</v>
      </c>
      <c r="Y53" s="1"/>
      <c r="Z53" s="5">
        <f t="shared" si="35"/>
        <v>7.577327003308887E-3</v>
      </c>
    </row>
    <row r="54" spans="1:26" s="24" customFormat="1" hidden="1" outlineLevel="2" x14ac:dyDescent="0.25">
      <c r="A54" s="27"/>
      <c r="B54" s="11" t="str">
        <f>CONCATENATE("          ", "6321", " - ", "BUILDING DEPRECIATION")</f>
        <v xml:space="preserve">          6321 - BUILDING DEPRECIATION</v>
      </c>
      <c r="C54" s="11"/>
      <c r="D54" s="7">
        <v>10597.26</v>
      </c>
      <c r="E54" s="2"/>
      <c r="F54" s="6">
        <f t="shared" si="28"/>
        <v>0.11979049329706286</v>
      </c>
      <c r="G54" s="2"/>
      <c r="H54" s="7"/>
      <c r="I54" s="2"/>
      <c r="J54" s="6">
        <f t="shared" si="29"/>
        <v>0</v>
      </c>
      <c r="K54" s="2"/>
      <c r="L54" s="7">
        <f t="shared" si="30"/>
        <v>10597.26</v>
      </c>
      <c r="M54" s="2"/>
      <c r="N54" s="6">
        <f t="shared" si="31"/>
        <v>0</v>
      </c>
      <c r="O54" s="11"/>
      <c r="P54" s="7">
        <v>42389.04</v>
      </c>
      <c r="Q54" s="2"/>
      <c r="R54" s="6">
        <f t="shared" si="32"/>
        <v>0.20243339138720254</v>
      </c>
      <c r="S54" s="2"/>
      <c r="T54" s="7"/>
      <c r="U54" s="2"/>
      <c r="V54" s="6">
        <f t="shared" si="33"/>
        <v>0</v>
      </c>
      <c r="W54" s="2"/>
      <c r="X54" s="7">
        <f t="shared" si="34"/>
        <v>42389.04</v>
      </c>
      <c r="Y54" s="2"/>
      <c r="Z54" s="6">
        <f t="shared" si="35"/>
        <v>0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3410.08</v>
      </c>
      <c r="E55" s="2"/>
      <c r="F55" s="6">
        <f t="shared" si="28"/>
        <v>3.8547243851943622E-2</v>
      </c>
      <c r="G55" s="2"/>
      <c r="H55" s="7">
        <v>13902</v>
      </c>
      <c r="I55" s="2"/>
      <c r="J55" s="6">
        <f t="shared" si="29"/>
        <v>0.30865211696010303</v>
      </c>
      <c r="K55" s="2"/>
      <c r="L55" s="7">
        <f t="shared" si="30"/>
        <v>-10491.92</v>
      </c>
      <c r="M55" s="2"/>
      <c r="N55" s="6">
        <f t="shared" si="31"/>
        <v>-0.75470579772694579</v>
      </c>
      <c r="O55" s="11"/>
      <c r="P55" s="7">
        <v>13640.32</v>
      </c>
      <c r="Q55" s="2"/>
      <c r="R55" s="6">
        <f t="shared" si="32"/>
        <v>6.5140806142500188E-2</v>
      </c>
      <c r="S55" s="2"/>
      <c r="T55" s="7">
        <v>55608</v>
      </c>
      <c r="U55" s="2"/>
      <c r="V55" s="6">
        <f t="shared" si="33"/>
        <v>0.56971323778007721</v>
      </c>
      <c r="W55" s="2"/>
      <c r="X55" s="7">
        <f t="shared" si="34"/>
        <v>-41967.68</v>
      </c>
      <c r="Y55" s="2"/>
      <c r="Z55" s="6">
        <f t="shared" si="35"/>
        <v>-0.75470579772694579</v>
      </c>
    </row>
    <row r="56" spans="1:26" s="28" customFormat="1" outlineLevel="1" collapsed="1" x14ac:dyDescent="0.25">
      <c r="A56" s="29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SUM(OSRRefD22_6x_0)</f>
        <v>368.72</v>
      </c>
      <c r="E56" s="1"/>
      <c r="F56" s="5">
        <f t="shared" ref="F56:F66" si="36">IF(D$12=0,0,D56/D$12)</f>
        <v>4.1679783914420352E-3</v>
      </c>
      <c r="G56" s="1"/>
      <c r="H56" s="1">
        <f>SUM(OSRRefH22_6x_0)</f>
        <v>275</v>
      </c>
      <c r="I56" s="1"/>
      <c r="J56" s="5">
        <f t="shared" ref="J56:J66" si="37">IF(H$12=0,0,H56/H$12)</f>
        <v>6.1055482782353858E-3</v>
      </c>
      <c r="K56" s="1"/>
      <c r="L56" s="1">
        <f t="shared" ref="L56:L66" si="38">+D56-H56</f>
        <v>93.720000000000027</v>
      </c>
      <c r="M56" s="1"/>
      <c r="N56" s="5">
        <f t="shared" ref="N56:N66" si="39">IF(H56=0,0,L56/H56)</f>
        <v>0.3408000000000001</v>
      </c>
      <c r="O56" s="14"/>
      <c r="P56" s="1">
        <f>SUM(OSRRefP22_6x_0)</f>
        <v>858.79</v>
      </c>
      <c r="Q56" s="1"/>
      <c r="R56" s="5">
        <f t="shared" ref="R56:R66" si="40">IF(P$12=0,0,P56/P$12)</f>
        <v>4.1012434390921724E-3</v>
      </c>
      <c r="S56" s="1"/>
      <c r="T56" s="1">
        <f>SUM(OSRRefT22_6x_0)</f>
        <v>1100</v>
      </c>
      <c r="U56" s="1"/>
      <c r="V56" s="5">
        <f t="shared" ref="V56:V66" si="41">IF(T$12=0,0,T56/T$12)</f>
        <v>1.1269683526796234E-2</v>
      </c>
      <c r="W56" s="1"/>
      <c r="X56" s="1">
        <f t="shared" ref="X56:X66" si="42">+P56-T56</f>
        <v>-241.21000000000004</v>
      </c>
      <c r="Y56" s="1"/>
      <c r="Z56" s="5">
        <f t="shared" ref="Z56:Z66" si="43">IF(T56=0,0,X56/T56)</f>
        <v>-0.21928181818181822</v>
      </c>
    </row>
    <row r="57" spans="1:26" s="24" customFormat="1" hidden="1" outlineLevel="2" x14ac:dyDescent="0.25">
      <c r="A57" s="27"/>
      <c r="B57" s="11" t="str">
        <f>CONCATENATE("          ", "6351", " - ", "EQUIPMENT RENTAL")</f>
        <v xml:space="preserve">          6351 - EQUIPMENT RENTAL</v>
      </c>
      <c r="C57" s="11"/>
      <c r="D57" s="7">
        <v>368.72</v>
      </c>
      <c r="E57" s="2"/>
      <c r="F57" s="6">
        <f t="shared" si="36"/>
        <v>4.1679783914420352E-3</v>
      </c>
      <c r="G57" s="2"/>
      <c r="H57" s="7">
        <v>275</v>
      </c>
      <c r="I57" s="2"/>
      <c r="J57" s="6">
        <f t="shared" si="37"/>
        <v>6.1055482782353858E-3</v>
      </c>
      <c r="K57" s="2"/>
      <c r="L57" s="7">
        <f t="shared" si="38"/>
        <v>93.720000000000027</v>
      </c>
      <c r="M57" s="2"/>
      <c r="N57" s="6">
        <f t="shared" si="39"/>
        <v>0.3408000000000001</v>
      </c>
      <c r="O57" s="11"/>
      <c r="P57" s="7">
        <v>858.79</v>
      </c>
      <c r="Q57" s="2"/>
      <c r="R57" s="6">
        <f t="shared" si="40"/>
        <v>4.1012434390921724E-3</v>
      </c>
      <c r="S57" s="2"/>
      <c r="T57" s="7">
        <v>1100</v>
      </c>
      <c r="U57" s="2"/>
      <c r="V57" s="6">
        <f t="shared" si="41"/>
        <v>1.1269683526796234E-2</v>
      </c>
      <c r="W57" s="2"/>
      <c r="X57" s="7">
        <f t="shared" si="42"/>
        <v>-241.21000000000004</v>
      </c>
      <c r="Y57" s="2"/>
      <c r="Z57" s="6">
        <f t="shared" si="43"/>
        <v>-0.21928181818181822</v>
      </c>
    </row>
    <row r="58" spans="1:26" s="28" customFormat="1" outlineLevel="1" collapsed="1" x14ac:dyDescent="0.25">
      <c r="A58" s="29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13.05</v>
      </c>
      <c r="E58" s="1"/>
      <c r="F58" s="5">
        <f t="shared" si="36"/>
        <v>1.4751605014189236E-4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13.05</v>
      </c>
      <c r="M58" s="1"/>
      <c r="N58" s="5">
        <f t="shared" si="39"/>
        <v>0</v>
      </c>
      <c r="O58" s="14"/>
      <c r="P58" s="1">
        <f>SUM(OSRRefP22_7x_0)</f>
        <v>1520.97</v>
      </c>
      <c r="Q58" s="1"/>
      <c r="R58" s="5">
        <f t="shared" si="40"/>
        <v>7.263554807992666E-3</v>
      </c>
      <c r="S58" s="1"/>
      <c r="T58" s="1">
        <f>SUM(OSRRefT22_7x_0)</f>
        <v>1335</v>
      </c>
      <c r="U58" s="1"/>
      <c r="V58" s="5">
        <f t="shared" si="41"/>
        <v>1.3677297734793611E-2</v>
      </c>
      <c r="W58" s="1"/>
      <c r="X58" s="1">
        <f t="shared" si="42"/>
        <v>185.97000000000003</v>
      </c>
      <c r="Y58" s="1"/>
      <c r="Z58" s="5">
        <f t="shared" si="43"/>
        <v>0.13930337078651686</v>
      </c>
    </row>
    <row r="59" spans="1:26" s="24" customFormat="1" hidden="1" outlineLevel="2" x14ac:dyDescent="0.25">
      <c r="A59" s="27"/>
      <c r="B59" s="11" t="str">
        <f>CONCATENATE("          ", "6279", " - ", "GENERAL EXPENSE")</f>
        <v xml:space="preserve">          6279 - GENERAL EXPENSE</v>
      </c>
      <c r="C59" s="11"/>
      <c r="D59" s="7">
        <v>13.05</v>
      </c>
      <c r="E59" s="2"/>
      <c r="F59" s="6">
        <f t="shared" si="36"/>
        <v>1.4751605014189236E-4</v>
      </c>
      <c r="G59" s="2"/>
      <c r="H59" s="7"/>
      <c r="I59" s="2"/>
      <c r="J59" s="6">
        <f t="shared" si="37"/>
        <v>0</v>
      </c>
      <c r="K59" s="2"/>
      <c r="L59" s="7">
        <f t="shared" si="38"/>
        <v>13.05</v>
      </c>
      <c r="M59" s="2"/>
      <c r="N59" s="6">
        <f t="shared" si="39"/>
        <v>0</v>
      </c>
      <c r="O59" s="11"/>
      <c r="P59" s="7">
        <v>1520.97</v>
      </c>
      <c r="Q59" s="2"/>
      <c r="R59" s="6">
        <f t="shared" si="40"/>
        <v>7.263554807992666E-3</v>
      </c>
      <c r="S59" s="2"/>
      <c r="T59" s="7">
        <v>1335</v>
      </c>
      <c r="U59" s="2"/>
      <c r="V59" s="6">
        <f t="shared" si="41"/>
        <v>1.3677297734793611E-2</v>
      </c>
      <c r="W59" s="2"/>
      <c r="X59" s="7">
        <f t="shared" si="42"/>
        <v>185.97000000000003</v>
      </c>
      <c r="Y59" s="2"/>
      <c r="Z59" s="6">
        <f t="shared" si="43"/>
        <v>0.13930337078651686</v>
      </c>
    </row>
    <row r="60" spans="1:26" s="28" customFormat="1" outlineLevel="1" collapsed="1" x14ac:dyDescent="0.25">
      <c r="A60" s="29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SUM(OSRRefD22_8x_0)</f>
        <v>871.61</v>
      </c>
      <c r="E60" s="1"/>
      <c r="F60" s="5">
        <f t="shared" si="36"/>
        <v>9.8526026409329354E-3</v>
      </c>
      <c r="G60" s="1"/>
      <c r="H60" s="1">
        <f>SUM(OSRRefH22_8x_0)</f>
        <v>850</v>
      </c>
      <c r="I60" s="1"/>
      <c r="J60" s="5">
        <f t="shared" si="37"/>
        <v>1.8871694678182102E-2</v>
      </c>
      <c r="K60" s="1"/>
      <c r="L60" s="1">
        <f t="shared" si="38"/>
        <v>21.610000000000014</v>
      </c>
      <c r="M60" s="1"/>
      <c r="N60" s="5">
        <f t="shared" si="39"/>
        <v>2.5423529411764723E-2</v>
      </c>
      <c r="O60" s="14"/>
      <c r="P60" s="1">
        <f>SUM(OSRRefP22_8x_0)</f>
        <v>3486.44</v>
      </c>
      <c r="Q60" s="1"/>
      <c r="R60" s="5">
        <f t="shared" si="40"/>
        <v>1.6649866877570203E-2</v>
      </c>
      <c r="S60" s="1"/>
      <c r="T60" s="1">
        <f>SUM(OSRRefT22_8x_0)</f>
        <v>3400</v>
      </c>
      <c r="U60" s="1"/>
      <c r="V60" s="5">
        <f t="shared" si="41"/>
        <v>3.4833567264642908E-2</v>
      </c>
      <c r="W60" s="1"/>
      <c r="X60" s="1">
        <f t="shared" si="42"/>
        <v>86.440000000000055</v>
      </c>
      <c r="Y60" s="1"/>
      <c r="Z60" s="5">
        <f t="shared" si="43"/>
        <v>2.5423529411764723E-2</v>
      </c>
    </row>
    <row r="61" spans="1:26" s="24" customFormat="1" hidden="1" outlineLevel="2" x14ac:dyDescent="0.25">
      <c r="A61" s="27"/>
      <c r="B61" s="11" t="str">
        <f>CONCATENATE("          ", "6314", " - ", "LIABILITY INSURANCE")</f>
        <v xml:space="preserve">          6314 - LIABILITY INSURANCE</v>
      </c>
      <c r="C61" s="11"/>
      <c r="D61" s="7">
        <v>871.61</v>
      </c>
      <c r="E61" s="2"/>
      <c r="F61" s="6">
        <f t="shared" si="36"/>
        <v>9.8526026409329354E-3</v>
      </c>
      <c r="G61" s="2"/>
      <c r="H61" s="7">
        <v>850</v>
      </c>
      <c r="I61" s="2"/>
      <c r="J61" s="6">
        <f t="shared" si="37"/>
        <v>1.8871694678182102E-2</v>
      </c>
      <c r="K61" s="2"/>
      <c r="L61" s="7">
        <f t="shared" si="38"/>
        <v>21.610000000000014</v>
      </c>
      <c r="M61" s="2"/>
      <c r="N61" s="6">
        <f t="shared" si="39"/>
        <v>2.5423529411764723E-2</v>
      </c>
      <c r="O61" s="11"/>
      <c r="P61" s="7">
        <v>3486.44</v>
      </c>
      <c r="Q61" s="2"/>
      <c r="R61" s="6">
        <f t="shared" si="40"/>
        <v>1.6649866877570203E-2</v>
      </c>
      <c r="S61" s="2"/>
      <c r="T61" s="7">
        <v>3400</v>
      </c>
      <c r="U61" s="2"/>
      <c r="V61" s="6">
        <f t="shared" si="41"/>
        <v>3.4833567264642908E-2</v>
      </c>
      <c r="W61" s="2"/>
      <c r="X61" s="7">
        <f t="shared" si="42"/>
        <v>86.440000000000055</v>
      </c>
      <c r="Y61" s="2"/>
      <c r="Z61" s="6">
        <f t="shared" si="43"/>
        <v>2.5423529411764723E-2</v>
      </c>
    </row>
    <row r="62" spans="1:26" s="28" customFormat="1" outlineLevel="1" collapsed="1" x14ac:dyDescent="0.25">
      <c r="A62" s="29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SUM(OSRRefD22_9x_0)</f>
        <v>6739</v>
      </c>
      <c r="E62" s="1"/>
      <c r="F62" s="5">
        <f t="shared" si="36"/>
        <v>7.6177062215035451E-2</v>
      </c>
      <c r="G62" s="1"/>
      <c r="H62" s="1">
        <f>SUM(OSRRefH22_9x_0)</f>
        <v>7253</v>
      </c>
      <c r="I62" s="1"/>
      <c r="J62" s="5">
        <f t="shared" si="37"/>
        <v>0.16103106058924091</v>
      </c>
      <c r="K62" s="1"/>
      <c r="L62" s="1">
        <f t="shared" si="38"/>
        <v>-514</v>
      </c>
      <c r="M62" s="1"/>
      <c r="N62" s="5">
        <f t="shared" si="39"/>
        <v>-7.0867227354198259E-2</v>
      </c>
      <c r="O62" s="14"/>
      <c r="P62" s="1">
        <f>SUM(OSRRefP22_9x_0)</f>
        <v>28498</v>
      </c>
      <c r="Q62" s="1"/>
      <c r="R62" s="5">
        <f t="shared" si="40"/>
        <v>0.13609524508581694</v>
      </c>
      <c r="S62" s="1"/>
      <c r="T62" s="1">
        <f>SUM(OSRRefT22_9x_0)</f>
        <v>29012</v>
      </c>
      <c r="U62" s="1"/>
      <c r="V62" s="5">
        <f t="shared" si="41"/>
        <v>0.2972327804358294</v>
      </c>
      <c r="W62" s="1"/>
      <c r="X62" s="1">
        <f t="shared" si="42"/>
        <v>-514</v>
      </c>
      <c r="Y62" s="1"/>
      <c r="Z62" s="5">
        <f t="shared" si="43"/>
        <v>-1.7716806838549565E-2</v>
      </c>
    </row>
    <row r="63" spans="1:26" s="24" customFormat="1" hidden="1" outlineLevel="2" x14ac:dyDescent="0.25">
      <c r="A63" s="27"/>
      <c r="B63" s="11" t="str">
        <f>CONCATENATE("          ", "6401", " - ", "INTEREST EXPENSE")</f>
        <v xml:space="preserve">          6401 - INTEREST EXPENSE</v>
      </c>
      <c r="C63" s="11"/>
      <c r="D63" s="7">
        <v>6739</v>
      </c>
      <c r="E63" s="2"/>
      <c r="F63" s="6">
        <f t="shared" si="36"/>
        <v>7.6177062215035451E-2</v>
      </c>
      <c r="G63" s="2"/>
      <c r="H63" s="7">
        <v>7253</v>
      </c>
      <c r="I63" s="2"/>
      <c r="J63" s="6">
        <f t="shared" si="37"/>
        <v>0.16103106058924091</v>
      </c>
      <c r="K63" s="2"/>
      <c r="L63" s="7">
        <f t="shared" si="38"/>
        <v>-514</v>
      </c>
      <c r="M63" s="2"/>
      <c r="N63" s="6">
        <f t="shared" si="39"/>
        <v>-7.0867227354198259E-2</v>
      </c>
      <c r="O63" s="11"/>
      <c r="P63" s="7">
        <v>28498</v>
      </c>
      <c r="Q63" s="2"/>
      <c r="R63" s="6">
        <f t="shared" si="40"/>
        <v>0.13609524508581694</v>
      </c>
      <c r="S63" s="2"/>
      <c r="T63" s="7">
        <v>29012</v>
      </c>
      <c r="U63" s="2"/>
      <c r="V63" s="6">
        <f t="shared" si="41"/>
        <v>0.2972327804358294</v>
      </c>
      <c r="W63" s="2"/>
      <c r="X63" s="7">
        <f t="shared" si="42"/>
        <v>-514</v>
      </c>
      <c r="Y63" s="2"/>
      <c r="Z63" s="6">
        <f t="shared" si="43"/>
        <v>-1.7716806838549565E-2</v>
      </c>
    </row>
    <row r="64" spans="1:26" s="28" customFormat="1" outlineLevel="1" collapsed="1" x14ac:dyDescent="0.25">
      <c r="A64" s="29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SUM(OSRRefD22_10x_0)</f>
        <v>4090.19</v>
      </c>
      <c r="E64" s="1"/>
      <c r="F64" s="5">
        <f t="shared" si="36"/>
        <v>4.6235147366273315E-2</v>
      </c>
      <c r="G64" s="1"/>
      <c r="H64" s="1">
        <f>SUM(OSRRefH22_10x_0)</f>
        <v>880</v>
      </c>
      <c r="I64" s="1"/>
      <c r="J64" s="5">
        <f t="shared" si="37"/>
        <v>1.9537754490353235E-2</v>
      </c>
      <c r="K64" s="1"/>
      <c r="L64" s="1">
        <f t="shared" si="38"/>
        <v>3210.19</v>
      </c>
      <c r="M64" s="1"/>
      <c r="N64" s="5">
        <f t="shared" si="39"/>
        <v>3.647943181818182</v>
      </c>
      <c r="O64" s="14"/>
      <c r="P64" s="1">
        <f>SUM(OSRRefP22_10x_0)</f>
        <v>15285.34</v>
      </c>
      <c r="Q64" s="1"/>
      <c r="R64" s="5">
        <f t="shared" si="40"/>
        <v>7.2996774984912666E-2</v>
      </c>
      <c r="S64" s="1"/>
      <c r="T64" s="1">
        <f>SUM(OSRRefT22_10x_0)</f>
        <v>3527</v>
      </c>
      <c r="U64" s="1"/>
      <c r="V64" s="5">
        <f t="shared" si="41"/>
        <v>3.6134703453645743E-2</v>
      </c>
      <c r="W64" s="1"/>
      <c r="X64" s="1">
        <f t="shared" si="42"/>
        <v>11758.34</v>
      </c>
      <c r="Y64" s="1"/>
      <c r="Z64" s="5">
        <f t="shared" si="43"/>
        <v>3.3338077686419054</v>
      </c>
    </row>
    <row r="65" spans="1:26" s="24" customFormat="1" hidden="1" outlineLevel="2" x14ac:dyDescent="0.25">
      <c r="A65" s="27"/>
      <c r="B65" s="11" t="str">
        <f>CONCATENATE("          ", "6373", " - ", "MAINTENANCE CONTRACTS")</f>
        <v xml:space="preserve">          6373 - MAINTENANCE CONTRACTS</v>
      </c>
      <c r="C65" s="11"/>
      <c r="D65" s="7">
        <v>439.36</v>
      </c>
      <c r="E65" s="2"/>
      <c r="F65" s="6">
        <f t="shared" si="36"/>
        <v>4.9664867272292586E-3</v>
      </c>
      <c r="G65" s="2"/>
      <c r="H65" s="7">
        <v>380</v>
      </c>
      <c r="I65" s="2"/>
      <c r="J65" s="6">
        <f t="shared" si="37"/>
        <v>8.4367576208343505E-3</v>
      </c>
      <c r="K65" s="2"/>
      <c r="L65" s="7">
        <f t="shared" si="38"/>
        <v>59.360000000000014</v>
      </c>
      <c r="M65" s="2"/>
      <c r="N65" s="6">
        <f t="shared" si="39"/>
        <v>0.15621052631578952</v>
      </c>
      <c r="O65" s="11"/>
      <c r="P65" s="7">
        <v>547.14</v>
      </c>
      <c r="Q65" s="2"/>
      <c r="R65" s="6">
        <f t="shared" si="40"/>
        <v>2.6129255525389108E-3</v>
      </c>
      <c r="S65" s="2"/>
      <c r="T65" s="7">
        <v>760</v>
      </c>
      <c r="U65" s="2"/>
      <c r="V65" s="6">
        <f t="shared" si="41"/>
        <v>7.7863268003319436E-3</v>
      </c>
      <c r="W65" s="2"/>
      <c r="X65" s="7">
        <f t="shared" si="42"/>
        <v>-212.86</v>
      </c>
      <c r="Y65" s="2"/>
      <c r="Z65" s="6">
        <f t="shared" si="43"/>
        <v>-0.28007894736842109</v>
      </c>
    </row>
    <row r="66" spans="1:26" s="24" customFormat="1" hidden="1" outlineLevel="2" x14ac:dyDescent="0.25">
      <c r="A66" s="27"/>
      <c r="B66" s="11" t="str">
        <f>CONCATENATE("          ", "6375", " - ", "OUTSIDE REPAIRS &amp; MAINTENANCE")</f>
        <v xml:space="preserve">          6375 - OUTSIDE REPAIRS &amp; MAINTENANCE</v>
      </c>
      <c r="C66" s="11"/>
      <c r="D66" s="7">
        <v>3650.83</v>
      </c>
      <c r="E66" s="2"/>
      <c r="F66" s="6">
        <f t="shared" si="36"/>
        <v>4.1268660639044052E-2</v>
      </c>
      <c r="G66" s="2"/>
      <c r="H66" s="7">
        <v>500</v>
      </c>
      <c r="I66" s="2"/>
      <c r="J66" s="6">
        <f t="shared" si="37"/>
        <v>1.1100996869518882E-2</v>
      </c>
      <c r="K66" s="2"/>
      <c r="L66" s="7">
        <f t="shared" si="38"/>
        <v>3150.83</v>
      </c>
      <c r="M66" s="2"/>
      <c r="N66" s="6">
        <f t="shared" si="39"/>
        <v>6.30166</v>
      </c>
      <c r="O66" s="11"/>
      <c r="P66" s="7">
        <v>14738.2</v>
      </c>
      <c r="Q66" s="2"/>
      <c r="R66" s="6">
        <f t="shared" si="40"/>
        <v>7.038384943237376E-2</v>
      </c>
      <c r="S66" s="2"/>
      <c r="T66" s="7">
        <v>2767</v>
      </c>
      <c r="U66" s="2"/>
      <c r="V66" s="6">
        <f t="shared" si="41"/>
        <v>2.83483766533138E-2</v>
      </c>
      <c r="W66" s="2"/>
      <c r="X66" s="7">
        <f t="shared" si="42"/>
        <v>11971.2</v>
      </c>
      <c r="Y66" s="2"/>
      <c r="Z66" s="6">
        <f t="shared" si="43"/>
        <v>4.3264185037947236</v>
      </c>
    </row>
    <row r="67" spans="1:26" s="28" customFormat="1" outlineLevel="1" collapsed="1" x14ac:dyDescent="0.25">
      <c r="A67" s="29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SUM(OSRRefD22_11x_0)</f>
        <v>5101.8300000000008</v>
      </c>
      <c r="E67" s="1"/>
      <c r="F67" s="5">
        <f t="shared" ref="F67:F71" si="44">IF(D$12=0,0,D67/D$12)</f>
        <v>5.7670636788920371E-2</v>
      </c>
      <c r="G67" s="1"/>
      <c r="H67" s="1">
        <f>SUM(OSRRefH22_11x_0)</f>
        <v>4979</v>
      </c>
      <c r="I67" s="1"/>
      <c r="J67" s="5">
        <f t="shared" ref="J67:J71" si="45">IF(H$12=0,0,H67/H$12)</f>
        <v>0.11054372682666903</v>
      </c>
      <c r="K67" s="1"/>
      <c r="L67" s="1">
        <f t="shared" ref="L67:L71" si="46">+D67-H67</f>
        <v>122.83000000000084</v>
      </c>
      <c r="M67" s="1"/>
      <c r="N67" s="5">
        <f t="shared" ref="N67:N71" si="47">IF(H67=0,0,L67/H67)</f>
        <v>2.4669612371962409E-2</v>
      </c>
      <c r="O67" s="14"/>
      <c r="P67" s="1">
        <f>SUM(OSRRefP22_11x_0)</f>
        <v>24421.9</v>
      </c>
      <c r="Q67" s="1"/>
      <c r="R67" s="5">
        <f t="shared" ref="R67:R71" si="48">IF(P$12=0,0,P67/P$12)</f>
        <v>0.11662939385084262</v>
      </c>
      <c r="S67" s="1"/>
      <c r="T67" s="1">
        <f>SUM(OSRRefT22_11x_0)</f>
        <v>19672</v>
      </c>
      <c r="U67" s="1"/>
      <c r="V67" s="5">
        <f t="shared" ref="V67:V71" si="49">IF(T$12=0,0,T67/T$12)</f>
        <v>0.20154292212648683</v>
      </c>
      <c r="W67" s="1"/>
      <c r="X67" s="1">
        <f t="shared" ref="X67:X71" si="50">+P67-T67</f>
        <v>4749.9000000000015</v>
      </c>
      <c r="Y67" s="1"/>
      <c r="Z67" s="5">
        <f t="shared" ref="Z67:Z71" si="51">IF(T67=0,0,X67/T67)</f>
        <v>0.24145485969906474</v>
      </c>
    </row>
    <row r="68" spans="1:26" s="24" customFormat="1" hidden="1" outlineLevel="2" x14ac:dyDescent="0.25">
      <c r="A68" s="27"/>
      <c r="B68" s="11" t="str">
        <f>CONCATENATE("          ", "6282", " - ", "JANITORIAL/EXTERMINATOR EXPENS")</f>
        <v xml:space="preserve">          6282 - JANITORIAL/EXTERMINATOR EXPENS</v>
      </c>
      <c r="C68" s="11"/>
      <c r="D68" s="7">
        <v>703.1</v>
      </c>
      <c r="E68" s="2"/>
      <c r="F68" s="6">
        <f t="shared" si="44"/>
        <v>7.9477804486409592E-3</v>
      </c>
      <c r="G68" s="2"/>
      <c r="H68" s="7">
        <v>328</v>
      </c>
      <c r="I68" s="2"/>
      <c r="J68" s="6">
        <f t="shared" si="45"/>
        <v>7.282253946404387E-3</v>
      </c>
      <c r="K68" s="2"/>
      <c r="L68" s="7">
        <f t="shared" si="46"/>
        <v>375.1</v>
      </c>
      <c r="M68" s="2"/>
      <c r="N68" s="6">
        <f t="shared" si="47"/>
        <v>1.1435975609756097</v>
      </c>
      <c r="O68" s="11"/>
      <c r="P68" s="7">
        <v>1406.2</v>
      </c>
      <c r="Q68" s="2"/>
      <c r="R68" s="6">
        <f t="shared" si="48"/>
        <v>6.7154584054907639E-3</v>
      </c>
      <c r="S68" s="2"/>
      <c r="T68" s="7">
        <v>1312</v>
      </c>
      <c r="U68" s="2"/>
      <c r="V68" s="6">
        <f t="shared" si="49"/>
        <v>1.3441658897415144E-2</v>
      </c>
      <c r="W68" s="2"/>
      <c r="X68" s="7">
        <f t="shared" si="50"/>
        <v>94.200000000000045</v>
      </c>
      <c r="Y68" s="2"/>
      <c r="Z68" s="6">
        <f t="shared" si="51"/>
        <v>7.1798780487804914E-2</v>
      </c>
    </row>
    <row r="69" spans="1:26" s="24" customFormat="1" hidden="1" outlineLevel="2" x14ac:dyDescent="0.25">
      <c r="A69" s="27"/>
      <c r="B69" s="11" t="str">
        <f>CONCATENATE("          ", "6284", " - ", "TRASH REMOVAL EXPENSE")</f>
        <v xml:space="preserve">          6284 - TRASH REMOVAL EXPENSE</v>
      </c>
      <c r="C69" s="11"/>
      <c r="D69" s="7"/>
      <c r="E69" s="2"/>
      <c r="F69" s="6">
        <f t="shared" si="44"/>
        <v>0</v>
      </c>
      <c r="G69" s="2"/>
      <c r="H69" s="7">
        <v>1000</v>
      </c>
      <c r="I69" s="2"/>
      <c r="J69" s="6">
        <f t="shared" si="45"/>
        <v>2.2201993739037765E-2</v>
      </c>
      <c r="K69" s="2"/>
      <c r="L69" s="7">
        <f t="shared" si="46"/>
        <v>-1000</v>
      </c>
      <c r="M69" s="2"/>
      <c r="N69" s="6">
        <f t="shared" si="47"/>
        <v>-1</v>
      </c>
      <c r="O69" s="11"/>
      <c r="P69" s="7"/>
      <c r="Q69" s="2"/>
      <c r="R69" s="6">
        <f t="shared" si="48"/>
        <v>0</v>
      </c>
      <c r="S69" s="2"/>
      <c r="T69" s="7">
        <v>4000</v>
      </c>
      <c r="U69" s="2"/>
      <c r="V69" s="6">
        <f t="shared" si="49"/>
        <v>4.0980667370168124E-2</v>
      </c>
      <c r="W69" s="2"/>
      <c r="X69" s="7">
        <f t="shared" si="50"/>
        <v>-4000</v>
      </c>
      <c r="Y69" s="2"/>
      <c r="Z69" s="6">
        <f t="shared" si="51"/>
        <v>-1</v>
      </c>
    </row>
    <row r="70" spans="1:26" s="24" customFormat="1" hidden="1" outlineLevel="2" x14ac:dyDescent="0.25">
      <c r="A70" s="27"/>
      <c r="B70" s="11" t="str">
        <f>CONCATENATE("          ", "6285", " - ", "JANITORIAL SERVICES")</f>
        <v xml:space="preserve">          6285 - JANITORIAL SERVICES</v>
      </c>
      <c r="C70" s="11"/>
      <c r="D70" s="7">
        <v>3804.38</v>
      </c>
      <c r="E70" s="2"/>
      <c r="F70" s="6">
        <f t="shared" si="44"/>
        <v>4.3004376309487544E-2</v>
      </c>
      <c r="G70" s="2"/>
      <c r="H70" s="7">
        <v>3041</v>
      </c>
      <c r="I70" s="2"/>
      <c r="J70" s="6">
        <f t="shared" si="45"/>
        <v>6.7516262960413839E-2</v>
      </c>
      <c r="K70" s="2"/>
      <c r="L70" s="7">
        <f t="shared" si="46"/>
        <v>763.38000000000011</v>
      </c>
      <c r="M70" s="2"/>
      <c r="N70" s="6">
        <f t="shared" si="47"/>
        <v>0.25102926668858933</v>
      </c>
      <c r="O70" s="11"/>
      <c r="P70" s="7">
        <v>21967.96</v>
      </c>
      <c r="Q70" s="2"/>
      <c r="R70" s="6">
        <f t="shared" si="48"/>
        <v>0.10491034108482782</v>
      </c>
      <c r="S70" s="2"/>
      <c r="T70" s="7">
        <v>12164</v>
      </c>
      <c r="U70" s="2"/>
      <c r="V70" s="6">
        <f t="shared" si="49"/>
        <v>0.12462220947268127</v>
      </c>
      <c r="W70" s="2"/>
      <c r="X70" s="7">
        <f t="shared" si="50"/>
        <v>9803.9599999999991</v>
      </c>
      <c r="Y70" s="2"/>
      <c r="Z70" s="6">
        <f t="shared" si="51"/>
        <v>0.80598158500493255</v>
      </c>
    </row>
    <row r="71" spans="1:26" s="24" customFormat="1" hidden="1" outlineLevel="2" x14ac:dyDescent="0.25">
      <c r="A71" s="27"/>
      <c r="B71" s="11" t="str">
        <f>CONCATENATE("          ", "6286", " - ", "LAUNDRY EXPENSE")</f>
        <v xml:space="preserve">          6286 - LAUNDRY EXPENSE</v>
      </c>
      <c r="C71" s="11"/>
      <c r="D71" s="7">
        <v>594.35</v>
      </c>
      <c r="E71" s="2"/>
      <c r="F71" s="6">
        <f t="shared" si="44"/>
        <v>6.7184800307918567E-3</v>
      </c>
      <c r="G71" s="2"/>
      <c r="H71" s="7">
        <v>610</v>
      </c>
      <c r="I71" s="2"/>
      <c r="J71" s="6">
        <f t="shared" si="45"/>
        <v>1.3543216180813037E-2</v>
      </c>
      <c r="K71" s="2"/>
      <c r="L71" s="7">
        <f t="shared" si="46"/>
        <v>-15.649999999999977</v>
      </c>
      <c r="M71" s="2"/>
      <c r="N71" s="6">
        <f t="shared" si="47"/>
        <v>-2.5655737704917997E-2</v>
      </c>
      <c r="O71" s="11"/>
      <c r="P71" s="7">
        <v>1047.74</v>
      </c>
      <c r="Q71" s="2"/>
      <c r="R71" s="6">
        <f t="shared" si="48"/>
        <v>5.0035943605240309E-3</v>
      </c>
      <c r="S71" s="2"/>
      <c r="T71" s="7">
        <v>2196</v>
      </c>
      <c r="U71" s="2"/>
      <c r="V71" s="6">
        <f t="shared" si="49"/>
        <v>2.2498386386222299E-2</v>
      </c>
      <c r="W71" s="2"/>
      <c r="X71" s="7">
        <f t="shared" si="50"/>
        <v>-1148.26</v>
      </c>
      <c r="Y71" s="2"/>
      <c r="Z71" s="6">
        <f t="shared" si="51"/>
        <v>-0.52288706739526414</v>
      </c>
    </row>
    <row r="72" spans="1:26" s="28" customFormat="1" outlineLevel="1" collapsed="1" x14ac:dyDescent="0.25">
      <c r="A72" s="29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SUM(OSRRefD22_12x_0)</f>
        <v>451.06</v>
      </c>
      <c r="E72" s="1"/>
      <c r="F72" s="5">
        <f t="shared" ref="F72:F80" si="52">IF(D$12=0,0,D72/D$12)</f>
        <v>5.0987424963219894E-3</v>
      </c>
      <c r="G72" s="1"/>
      <c r="H72" s="1">
        <f>SUM(OSRRefH22_12x_0)</f>
        <v>380</v>
      </c>
      <c r="I72" s="1"/>
      <c r="J72" s="5">
        <f t="shared" ref="J72:J80" si="53">IF(H$12=0,0,H72/H$12)</f>
        <v>8.4367576208343505E-3</v>
      </c>
      <c r="K72" s="1"/>
      <c r="L72" s="1">
        <f t="shared" ref="L72:L80" si="54">+D72-H72</f>
        <v>71.06</v>
      </c>
      <c r="M72" s="1"/>
      <c r="N72" s="5">
        <f t="shared" ref="N72:N80" si="55">IF(H72=0,0,L72/H72)</f>
        <v>0.187</v>
      </c>
      <c r="O72" s="14"/>
      <c r="P72" s="1">
        <f>SUM(OSRRefP22_12x_0)</f>
        <v>1380.25</v>
      </c>
      <c r="Q72" s="1"/>
      <c r="R72" s="5">
        <f t="shared" ref="R72:R80" si="56">IF(P$12=0,0,P72/P$12)</f>
        <v>6.5915314067548185E-3</v>
      </c>
      <c r="S72" s="1"/>
      <c r="T72" s="1">
        <f>SUM(OSRRefT22_12x_0)</f>
        <v>1520</v>
      </c>
      <c r="U72" s="1"/>
      <c r="V72" s="5">
        <f t="shared" ref="V72:V80" si="57">IF(T$12=0,0,T72/T$12)</f>
        <v>1.5572653600663887E-2</v>
      </c>
      <c r="W72" s="1"/>
      <c r="X72" s="1">
        <f t="shared" ref="X72:X80" si="58">+P72-T72</f>
        <v>-139.75</v>
      </c>
      <c r="Y72" s="1"/>
      <c r="Z72" s="5">
        <f t="shared" ref="Z72:Z80" si="59">IF(T72=0,0,X72/T72)</f>
        <v>-9.1940789473684212E-2</v>
      </c>
    </row>
    <row r="73" spans="1:26" s="24" customFormat="1" hidden="1" outlineLevel="2" x14ac:dyDescent="0.25">
      <c r="A73" s="27"/>
      <c r="B73" s="11" t="str">
        <f>CONCATENATE("          ", "6275", " - ", "SUBSCRIPTIONS")</f>
        <v xml:space="preserve">          6275 - SUBSCRIPTIONS</v>
      </c>
      <c r="C73" s="11"/>
      <c r="D73" s="7">
        <v>451.06</v>
      </c>
      <c r="E73" s="2"/>
      <c r="F73" s="6">
        <f t="shared" si="52"/>
        <v>5.0987424963219894E-3</v>
      </c>
      <c r="G73" s="2"/>
      <c r="H73" s="7">
        <v>380</v>
      </c>
      <c r="I73" s="2"/>
      <c r="J73" s="6">
        <f t="shared" si="53"/>
        <v>8.4367576208343505E-3</v>
      </c>
      <c r="K73" s="2"/>
      <c r="L73" s="7">
        <f t="shared" si="54"/>
        <v>71.06</v>
      </c>
      <c r="M73" s="2"/>
      <c r="N73" s="6">
        <f t="shared" si="55"/>
        <v>0.187</v>
      </c>
      <c r="O73" s="11"/>
      <c r="P73" s="7">
        <v>1380.25</v>
      </c>
      <c r="Q73" s="2"/>
      <c r="R73" s="6">
        <f t="shared" si="56"/>
        <v>6.5915314067548185E-3</v>
      </c>
      <c r="S73" s="2"/>
      <c r="T73" s="7">
        <v>1520</v>
      </c>
      <c r="U73" s="2"/>
      <c r="V73" s="6">
        <f t="shared" si="57"/>
        <v>1.5572653600663887E-2</v>
      </c>
      <c r="W73" s="2"/>
      <c r="X73" s="7">
        <f t="shared" si="58"/>
        <v>-139.75</v>
      </c>
      <c r="Y73" s="2"/>
      <c r="Z73" s="6">
        <f t="shared" si="59"/>
        <v>-9.1940789473684212E-2</v>
      </c>
    </row>
    <row r="74" spans="1:26" s="28" customFormat="1" outlineLevel="1" collapsed="1" x14ac:dyDescent="0.25">
      <c r="A74" s="29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3589.7700000000004</v>
      </c>
      <c r="E74" s="1"/>
      <c r="F74" s="5">
        <f t="shared" si="52"/>
        <v>4.0578443779146434E-2</v>
      </c>
      <c r="G74" s="1"/>
      <c r="H74" s="1">
        <f>SUM(OSRRefH22_13x_0)</f>
        <v>200</v>
      </c>
      <c r="I74" s="1"/>
      <c r="J74" s="5">
        <f t="shared" si="53"/>
        <v>4.4403987478075528E-3</v>
      </c>
      <c r="K74" s="1"/>
      <c r="L74" s="1">
        <f t="shared" si="54"/>
        <v>3389.7700000000004</v>
      </c>
      <c r="M74" s="1"/>
      <c r="N74" s="5">
        <f t="shared" si="55"/>
        <v>16.948850000000004</v>
      </c>
      <c r="O74" s="14"/>
      <c r="P74" s="1">
        <f>SUM(OSRRefP22_13x_0)</f>
        <v>8269.82</v>
      </c>
      <c r="Q74" s="1"/>
      <c r="R74" s="5">
        <f t="shared" si="56"/>
        <v>3.9493409352080518E-2</v>
      </c>
      <c r="S74" s="1"/>
      <c r="T74" s="1">
        <f>SUM(OSRRefT22_13x_0)</f>
        <v>7573</v>
      </c>
      <c r="U74" s="1"/>
      <c r="V74" s="5">
        <f t="shared" si="57"/>
        <v>7.7586648498570804E-2</v>
      </c>
      <c r="W74" s="1"/>
      <c r="X74" s="1">
        <f t="shared" si="58"/>
        <v>696.81999999999971</v>
      </c>
      <c r="Y74" s="1"/>
      <c r="Z74" s="5">
        <f t="shared" si="59"/>
        <v>9.2013732998811534E-2</v>
      </c>
    </row>
    <row r="75" spans="1:26" s="24" customFormat="1" hidden="1" outlineLevel="2" x14ac:dyDescent="0.25">
      <c r="A75" s="27"/>
      <c r="B75" s="11" t="str">
        <f>CONCATENATE("          ", "6237", " - ", "JANITORIAL SUPPLIES")</f>
        <v xml:space="preserve">          6237 - JANITORIAL SUPPLIES</v>
      </c>
      <c r="C75" s="11"/>
      <c r="D75" s="7">
        <v>804.12</v>
      </c>
      <c r="E75" s="2"/>
      <c r="F75" s="6">
        <f t="shared" si="52"/>
        <v>9.0897016275937534E-3</v>
      </c>
      <c r="G75" s="2"/>
      <c r="H75" s="7"/>
      <c r="I75" s="2"/>
      <c r="J75" s="6">
        <f t="shared" si="53"/>
        <v>0</v>
      </c>
      <c r="K75" s="2"/>
      <c r="L75" s="7">
        <f t="shared" si="54"/>
        <v>804.12</v>
      </c>
      <c r="M75" s="2"/>
      <c r="N75" s="6">
        <f t="shared" si="55"/>
        <v>0</v>
      </c>
      <c r="O75" s="11"/>
      <c r="P75" s="7">
        <v>3603.97</v>
      </c>
      <c r="Q75" s="2"/>
      <c r="R75" s="6">
        <f t="shared" si="56"/>
        <v>1.7211143955082168E-2</v>
      </c>
      <c r="S75" s="2"/>
      <c r="T75" s="7">
        <v>1503</v>
      </c>
      <c r="U75" s="2"/>
      <c r="V75" s="6">
        <f t="shared" si="57"/>
        <v>1.5398485764340672E-2</v>
      </c>
      <c r="W75" s="2"/>
      <c r="X75" s="7">
        <f t="shared" si="58"/>
        <v>2100.9699999999998</v>
      </c>
      <c r="Y75" s="2"/>
      <c r="Z75" s="6">
        <f t="shared" si="59"/>
        <v>1.3978509647371922</v>
      </c>
    </row>
    <row r="76" spans="1:26" s="24" customFormat="1" hidden="1" outlineLevel="2" x14ac:dyDescent="0.25">
      <c r="A76" s="27"/>
      <c r="B76" s="11" t="str">
        <f>CONCATENATE("          ", "6239", " - ", "KITCHEN SUPPLIES")</f>
        <v xml:space="preserve">          6239 - KITCHEN SUPPLIES</v>
      </c>
      <c r="C76" s="11"/>
      <c r="D76" s="7">
        <v>235.06</v>
      </c>
      <c r="E76" s="2"/>
      <c r="F76" s="6">
        <f t="shared" si="52"/>
        <v>2.6570975284561853E-3</v>
      </c>
      <c r="G76" s="2"/>
      <c r="H76" s="7"/>
      <c r="I76" s="2"/>
      <c r="J76" s="6">
        <f t="shared" si="53"/>
        <v>0</v>
      </c>
      <c r="K76" s="2"/>
      <c r="L76" s="7">
        <f t="shared" si="54"/>
        <v>235.06</v>
      </c>
      <c r="M76" s="2"/>
      <c r="N76" s="6">
        <f t="shared" si="55"/>
        <v>0</v>
      </c>
      <c r="O76" s="11"/>
      <c r="P76" s="7">
        <v>1153.27</v>
      </c>
      <c r="Q76" s="2"/>
      <c r="R76" s="6">
        <f t="shared" si="56"/>
        <v>5.5075641553835389E-3</v>
      </c>
      <c r="S76" s="2"/>
      <c r="T76" s="7">
        <v>149</v>
      </c>
      <c r="U76" s="2"/>
      <c r="V76" s="6">
        <f t="shared" si="57"/>
        <v>1.5265298595387626E-3</v>
      </c>
      <c r="W76" s="2"/>
      <c r="X76" s="7">
        <f t="shared" si="58"/>
        <v>1004.27</v>
      </c>
      <c r="Y76" s="2"/>
      <c r="Z76" s="6">
        <f t="shared" si="59"/>
        <v>6.7400671140939599</v>
      </c>
    </row>
    <row r="77" spans="1:26" s="24" customFormat="1" hidden="1" outlineLevel="2" x14ac:dyDescent="0.25">
      <c r="A77" s="27"/>
      <c r="B77" s="11" t="str">
        <f>CONCATENATE("          ", "6241", " - ", "OFFICE EXPENSE")</f>
        <v xml:space="preserve">          6241 - OFFICE EXPENSE</v>
      </c>
      <c r="C77" s="11"/>
      <c r="D77" s="7">
        <v>2550.59</v>
      </c>
      <c r="E77" s="2"/>
      <c r="F77" s="6">
        <f t="shared" si="52"/>
        <v>2.8831644623096495E-2</v>
      </c>
      <c r="G77" s="2"/>
      <c r="H77" s="7"/>
      <c r="I77" s="2"/>
      <c r="J77" s="6">
        <f t="shared" si="53"/>
        <v>0</v>
      </c>
      <c r="K77" s="2"/>
      <c r="L77" s="7">
        <f t="shared" si="54"/>
        <v>2550.59</v>
      </c>
      <c r="M77" s="2"/>
      <c r="N77" s="6">
        <f t="shared" si="55"/>
        <v>0</v>
      </c>
      <c r="O77" s="11"/>
      <c r="P77" s="7">
        <v>3026.35</v>
      </c>
      <c r="Q77" s="2"/>
      <c r="R77" s="6">
        <f t="shared" si="56"/>
        <v>1.4452657904606011E-2</v>
      </c>
      <c r="S77" s="2"/>
      <c r="T77" s="7">
        <v>2827</v>
      </c>
      <c r="U77" s="2"/>
      <c r="V77" s="6">
        <f t="shared" si="57"/>
        <v>2.8963086663866322E-2</v>
      </c>
      <c r="W77" s="2"/>
      <c r="X77" s="7">
        <f t="shared" si="58"/>
        <v>199.34999999999991</v>
      </c>
      <c r="Y77" s="2"/>
      <c r="Z77" s="6">
        <f t="shared" si="59"/>
        <v>7.0516448532012707E-2</v>
      </c>
    </row>
    <row r="78" spans="1:26" s="24" customFormat="1" hidden="1" outlineLevel="2" x14ac:dyDescent="0.25">
      <c r="A78" s="27"/>
      <c r="B78" s="11" t="str">
        <f>CONCATENATE("          ", "6243", " - ", "PAPER SUPPLIES")</f>
        <v xml:space="preserve">          6243 - PAPER SUPPLIES</v>
      </c>
      <c r="C78" s="11"/>
      <c r="D78" s="7"/>
      <c r="E78" s="2"/>
      <c r="F78" s="6">
        <f t="shared" si="52"/>
        <v>0</v>
      </c>
      <c r="G78" s="2"/>
      <c r="H78" s="7">
        <v>200</v>
      </c>
      <c r="I78" s="2"/>
      <c r="J78" s="6">
        <f t="shared" si="53"/>
        <v>4.4403987478075528E-3</v>
      </c>
      <c r="K78" s="2"/>
      <c r="L78" s="7">
        <f t="shared" si="54"/>
        <v>-200</v>
      </c>
      <c r="M78" s="2"/>
      <c r="N78" s="6">
        <f t="shared" si="55"/>
        <v>-1</v>
      </c>
      <c r="O78" s="11"/>
      <c r="P78" s="7">
        <v>486.23</v>
      </c>
      <c r="Q78" s="2"/>
      <c r="R78" s="6">
        <f t="shared" si="56"/>
        <v>2.3220433370087995E-3</v>
      </c>
      <c r="S78" s="2"/>
      <c r="T78" s="7">
        <v>1683</v>
      </c>
      <c r="U78" s="2"/>
      <c r="V78" s="6">
        <f t="shared" si="57"/>
        <v>1.7242615795998239E-2</v>
      </c>
      <c r="W78" s="2"/>
      <c r="X78" s="7">
        <f t="shared" si="58"/>
        <v>-1196.77</v>
      </c>
      <c r="Y78" s="2"/>
      <c r="Z78" s="6">
        <f t="shared" si="59"/>
        <v>-0.7110932857991682</v>
      </c>
    </row>
    <row r="79" spans="1:26" s="24" customFormat="1" hidden="1" outlineLevel="2" x14ac:dyDescent="0.25">
      <c r="A79" s="27"/>
      <c r="B79" s="11" t="str">
        <f>CONCATENATE("          ", "6247", " - ", "STORE SUPPLIES")</f>
        <v xml:space="preserve">          6247 - STORE SUPPLIES</v>
      </c>
      <c r="C79" s="11"/>
      <c r="D79" s="7"/>
      <c r="E79" s="2"/>
      <c r="F79" s="6">
        <f t="shared" si="52"/>
        <v>0</v>
      </c>
      <c r="G79" s="2"/>
      <c r="H79" s="7"/>
      <c r="I79" s="2"/>
      <c r="J79" s="6">
        <f t="shared" si="53"/>
        <v>0</v>
      </c>
      <c r="K79" s="2"/>
      <c r="L79" s="7">
        <f t="shared" si="54"/>
        <v>0</v>
      </c>
      <c r="M79" s="2"/>
      <c r="N79" s="6">
        <f t="shared" si="55"/>
        <v>0</v>
      </c>
      <c r="O79" s="11"/>
      <c r="P79" s="7"/>
      <c r="Q79" s="2"/>
      <c r="R79" s="6">
        <f t="shared" si="56"/>
        <v>0</v>
      </c>
      <c r="S79" s="2"/>
      <c r="T79" s="7">
        <v>411</v>
      </c>
      <c r="U79" s="2"/>
      <c r="V79" s="6">
        <f t="shared" si="57"/>
        <v>4.2107635722847744E-3</v>
      </c>
      <c r="W79" s="2"/>
      <c r="X79" s="7">
        <f t="shared" si="58"/>
        <v>-411</v>
      </c>
      <c r="Y79" s="2"/>
      <c r="Z79" s="6">
        <f t="shared" si="59"/>
        <v>-1</v>
      </c>
    </row>
    <row r="80" spans="1:26" s="24" customFormat="1" hidden="1" outlineLevel="2" x14ac:dyDescent="0.25">
      <c r="A80" s="27"/>
      <c r="B80" s="11" t="str">
        <f>CONCATENATE("          ", "6248", " - ", "UNIFORMS")</f>
        <v xml:space="preserve">          6248 - UNIFORMS</v>
      </c>
      <c r="C80" s="11"/>
      <c r="D80" s="7"/>
      <c r="E80" s="2"/>
      <c r="F80" s="6">
        <f t="shared" si="52"/>
        <v>0</v>
      </c>
      <c r="G80" s="2"/>
      <c r="H80" s="7"/>
      <c r="I80" s="2"/>
      <c r="J80" s="6">
        <f t="shared" si="53"/>
        <v>0</v>
      </c>
      <c r="K80" s="2"/>
      <c r="L80" s="7">
        <f t="shared" si="54"/>
        <v>0</v>
      </c>
      <c r="M80" s="2"/>
      <c r="N80" s="6">
        <f t="shared" si="55"/>
        <v>0</v>
      </c>
      <c r="O80" s="11"/>
      <c r="P80" s="7"/>
      <c r="Q80" s="2"/>
      <c r="R80" s="6">
        <f t="shared" si="56"/>
        <v>0</v>
      </c>
      <c r="S80" s="2"/>
      <c r="T80" s="7">
        <v>1000</v>
      </c>
      <c r="U80" s="2"/>
      <c r="V80" s="6">
        <f t="shared" si="57"/>
        <v>1.0245166842542031E-2</v>
      </c>
      <c r="W80" s="2"/>
      <c r="X80" s="7">
        <f t="shared" si="58"/>
        <v>-1000</v>
      </c>
      <c r="Y80" s="2"/>
      <c r="Z80" s="6">
        <f t="shared" si="59"/>
        <v>-1</v>
      </c>
    </row>
    <row r="81" spans="1:26" s="28" customFormat="1" outlineLevel="1" collapsed="1" x14ac:dyDescent="0.25">
      <c r="A81" s="29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SUM(OSRRefD22_14x_0)</f>
        <v>411.65</v>
      </c>
      <c r="E81" s="1"/>
      <c r="F81" s="5">
        <f t="shared" ref="F81:F83" si="60">IF(D$12=0,0,D81/D$12)</f>
        <v>4.6532553288053625E-3</v>
      </c>
      <c r="G81" s="1"/>
      <c r="H81" s="1">
        <f>SUM(OSRRefH22_14x_0)</f>
        <v>135</v>
      </c>
      <c r="I81" s="1"/>
      <c r="J81" s="5">
        <f t="shared" ref="J81:J83" si="61">IF(H$12=0,0,H81/H$12)</f>
        <v>2.9972691547700985E-3</v>
      </c>
      <c r="K81" s="1"/>
      <c r="L81" s="1">
        <f t="shared" ref="L81:L83" si="62">+D81-H81</f>
        <v>276.64999999999998</v>
      </c>
      <c r="M81" s="1"/>
      <c r="N81" s="5">
        <f t="shared" ref="N81:N83" si="63">IF(H81=0,0,L81/H81)</f>
        <v>2.0492592592592591</v>
      </c>
      <c r="O81" s="14"/>
      <c r="P81" s="1">
        <f>SUM(OSRRefP22_14x_0)</f>
        <v>1196.48</v>
      </c>
      <c r="Q81" s="1"/>
      <c r="R81" s="5">
        <f t="shared" ref="R81:R83" si="64">IF(P$12=0,0,P81/P$12)</f>
        <v>5.7139181290012725E-3</v>
      </c>
      <c r="S81" s="1"/>
      <c r="T81" s="1">
        <f>SUM(OSRRefT22_14x_0)</f>
        <v>540</v>
      </c>
      <c r="U81" s="1"/>
      <c r="V81" s="5">
        <f t="shared" ref="V81:V83" si="65">IF(T$12=0,0,T81/T$12)</f>
        <v>5.5323900949726963E-3</v>
      </c>
      <c r="W81" s="1"/>
      <c r="X81" s="1">
        <f t="shared" ref="X81:X83" si="66">+P81-T81</f>
        <v>656.48</v>
      </c>
      <c r="Y81" s="1"/>
      <c r="Z81" s="5">
        <f t="shared" ref="Z81:Z83" si="67">IF(T81=0,0,X81/T81)</f>
        <v>1.2157037037037037</v>
      </c>
    </row>
    <row r="82" spans="1:26" s="24" customFormat="1" hidden="1" outlineLevel="2" x14ac:dyDescent="0.25">
      <c r="A82" s="27"/>
      <c r="B82" s="11" t="str">
        <f>CONCATENATE("          ", "6303", " - ", "DATA PHONE LINES")</f>
        <v xml:space="preserve">          6303 - DATA PHONE LINES</v>
      </c>
      <c r="C82" s="11"/>
      <c r="D82" s="7"/>
      <c r="E82" s="2"/>
      <c r="F82" s="6">
        <f t="shared" si="60"/>
        <v>0</v>
      </c>
      <c r="G82" s="2"/>
      <c r="H82" s="7">
        <v>60</v>
      </c>
      <c r="I82" s="2"/>
      <c r="J82" s="6">
        <f t="shared" si="61"/>
        <v>1.3321196243422659E-3</v>
      </c>
      <c r="K82" s="2"/>
      <c r="L82" s="7">
        <f t="shared" si="62"/>
        <v>-60</v>
      </c>
      <c r="M82" s="2"/>
      <c r="N82" s="6">
        <f t="shared" si="63"/>
        <v>-1</v>
      </c>
      <c r="O82" s="11"/>
      <c r="P82" s="7"/>
      <c r="Q82" s="2"/>
      <c r="R82" s="6">
        <f t="shared" si="64"/>
        <v>0</v>
      </c>
      <c r="S82" s="2"/>
      <c r="T82" s="7">
        <v>240</v>
      </c>
      <c r="U82" s="2"/>
      <c r="V82" s="6">
        <f t="shared" si="65"/>
        <v>2.4588400422100873E-3</v>
      </c>
      <c r="W82" s="2"/>
      <c r="X82" s="7">
        <f t="shared" si="66"/>
        <v>-240</v>
      </c>
      <c r="Y82" s="2"/>
      <c r="Z82" s="6">
        <f t="shared" si="67"/>
        <v>-1</v>
      </c>
    </row>
    <row r="83" spans="1:26" s="24" customFormat="1" hidden="1" outlineLevel="2" x14ac:dyDescent="0.25">
      <c r="A83" s="27"/>
      <c r="B83" s="11" t="str">
        <f>CONCATENATE("          ", "6309", " - ", "TELEPHONE")</f>
        <v xml:space="preserve">          6309 - TELEPHONE</v>
      </c>
      <c r="C83" s="11"/>
      <c r="D83" s="7">
        <v>411.65</v>
      </c>
      <c r="E83" s="2"/>
      <c r="F83" s="6">
        <f t="shared" si="60"/>
        <v>4.6532553288053625E-3</v>
      </c>
      <c r="G83" s="2"/>
      <c r="H83" s="7">
        <v>75</v>
      </c>
      <c r="I83" s="2"/>
      <c r="J83" s="6">
        <f t="shared" si="61"/>
        <v>1.6651495304278324E-3</v>
      </c>
      <c r="K83" s="2"/>
      <c r="L83" s="7">
        <f t="shared" si="62"/>
        <v>336.65</v>
      </c>
      <c r="M83" s="2"/>
      <c r="N83" s="6">
        <f t="shared" si="63"/>
        <v>4.4886666666666661</v>
      </c>
      <c r="O83" s="11"/>
      <c r="P83" s="7">
        <v>1196.48</v>
      </c>
      <c r="Q83" s="2"/>
      <c r="R83" s="6">
        <f t="shared" si="64"/>
        <v>5.7139181290012725E-3</v>
      </c>
      <c r="S83" s="2"/>
      <c r="T83" s="7">
        <v>300</v>
      </c>
      <c r="U83" s="2"/>
      <c r="V83" s="6">
        <f t="shared" si="65"/>
        <v>3.0735500527626094E-3</v>
      </c>
      <c r="W83" s="2"/>
      <c r="X83" s="7">
        <f t="shared" si="66"/>
        <v>896.48</v>
      </c>
      <c r="Y83" s="2"/>
      <c r="Z83" s="6">
        <f t="shared" si="67"/>
        <v>2.9882666666666666</v>
      </c>
    </row>
    <row r="84" spans="1:26" s="28" customFormat="1" outlineLevel="1" collapsed="1" x14ac:dyDescent="0.25">
      <c r="A84" s="29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SUM(OSRRefD22_15x_0)</f>
        <v>0</v>
      </c>
      <c r="E84" s="1"/>
      <c r="F84" s="5">
        <f t="shared" ref="F84:F87" si="68">IF(D$12=0,0,D84/D$12)</f>
        <v>0</v>
      </c>
      <c r="G84" s="1"/>
      <c r="H84" s="1">
        <f>SUM(OSRRefH22_15x_0)</f>
        <v>0</v>
      </c>
      <c r="I84" s="1"/>
      <c r="J84" s="5">
        <f t="shared" ref="J84:J87" si="69">IF(H$12=0,0,H84/H$12)</f>
        <v>0</v>
      </c>
      <c r="K84" s="1"/>
      <c r="L84" s="1">
        <f t="shared" ref="L84:L87" si="70">+D84-H84</f>
        <v>0</v>
      </c>
      <c r="M84" s="1"/>
      <c r="N84" s="5">
        <f t="shared" ref="N84:N87" si="71">IF(H84=0,0,L84/H84)</f>
        <v>0</v>
      </c>
      <c r="O84" s="14"/>
      <c r="P84" s="1">
        <f>SUM(OSRRefP22_15x_0)</f>
        <v>0</v>
      </c>
      <c r="Q84" s="1"/>
      <c r="R84" s="5">
        <f t="shared" ref="R84:R87" si="72">IF(P$12=0,0,P84/P$12)</f>
        <v>0</v>
      </c>
      <c r="S84" s="1"/>
      <c r="T84" s="1">
        <f>SUM(OSRRefT22_15x_0)</f>
        <v>400</v>
      </c>
      <c r="U84" s="1"/>
      <c r="V84" s="5">
        <f t="shared" ref="V84:V87" si="73">IF(T$12=0,0,T84/T$12)</f>
        <v>4.0980667370168122E-3</v>
      </c>
      <c r="W84" s="1"/>
      <c r="X84" s="1">
        <f t="shared" ref="X84:X87" si="74">+P84-T84</f>
        <v>-400</v>
      </c>
      <c r="Y84" s="1"/>
      <c r="Z84" s="5">
        <f t="shared" ref="Z84:Z87" si="75">IF(T84=0,0,X84/T84)</f>
        <v>-1</v>
      </c>
    </row>
    <row r="85" spans="1:26" s="24" customFormat="1" hidden="1" outlineLevel="2" x14ac:dyDescent="0.25">
      <c r="A85" s="27"/>
      <c r="B85" s="11" t="str">
        <f>CONCATENATE("          ", "6376", " - ", "TRAINING")</f>
        <v xml:space="preserve">          6376 - TRAINING</v>
      </c>
      <c r="C85" s="11"/>
      <c r="D85" s="7"/>
      <c r="E85" s="2"/>
      <c r="F85" s="6">
        <f t="shared" si="68"/>
        <v>0</v>
      </c>
      <c r="G85" s="2"/>
      <c r="H85" s="7"/>
      <c r="I85" s="2"/>
      <c r="J85" s="6">
        <f t="shared" si="69"/>
        <v>0</v>
      </c>
      <c r="K85" s="2"/>
      <c r="L85" s="7">
        <f t="shared" si="70"/>
        <v>0</v>
      </c>
      <c r="M85" s="2"/>
      <c r="N85" s="6">
        <f t="shared" si="71"/>
        <v>0</v>
      </c>
      <c r="O85" s="11"/>
      <c r="P85" s="7"/>
      <c r="Q85" s="2"/>
      <c r="R85" s="6">
        <f t="shared" si="72"/>
        <v>0</v>
      </c>
      <c r="S85" s="2"/>
      <c r="T85" s="7">
        <v>400</v>
      </c>
      <c r="U85" s="2"/>
      <c r="V85" s="6">
        <f t="shared" si="73"/>
        <v>4.0980667370168122E-3</v>
      </c>
      <c r="W85" s="2"/>
      <c r="X85" s="7">
        <f t="shared" si="74"/>
        <v>-400</v>
      </c>
      <c r="Y85" s="2"/>
      <c r="Z85" s="6">
        <f t="shared" si="75"/>
        <v>-1</v>
      </c>
    </row>
    <row r="86" spans="1:26" s="28" customFormat="1" outlineLevel="1" collapsed="1" x14ac:dyDescent="0.25">
      <c r="A86" s="29"/>
      <c r="B86" s="14" t="str">
        <f>CONCATENATE("     ","Utilities                                         ")</f>
        <v xml:space="preserve">     Utilities                                         </v>
      </c>
      <c r="C86" s="14"/>
      <c r="D86" s="1">
        <f>SUM(OSRRefD22_16x_0)</f>
        <v>0</v>
      </c>
      <c r="E86" s="1"/>
      <c r="F86" s="5">
        <f t="shared" si="68"/>
        <v>0</v>
      </c>
      <c r="G86" s="1"/>
      <c r="H86" s="1">
        <f>SUM(OSRRefH22_16x_0)</f>
        <v>2417</v>
      </c>
      <c r="I86" s="1"/>
      <c r="J86" s="5">
        <f t="shared" si="69"/>
        <v>5.366221886725428E-2</v>
      </c>
      <c r="K86" s="1"/>
      <c r="L86" s="1">
        <f t="shared" si="70"/>
        <v>-2417</v>
      </c>
      <c r="M86" s="1"/>
      <c r="N86" s="5">
        <f t="shared" si="71"/>
        <v>-1</v>
      </c>
      <c r="O86" s="14"/>
      <c r="P86" s="1">
        <f>SUM(OSRRefP22_16x_0)</f>
        <v>7200</v>
      </c>
      <c r="Q86" s="1"/>
      <c r="R86" s="5">
        <f t="shared" si="72"/>
        <v>3.4384369591475963E-2</v>
      </c>
      <c r="S86" s="1"/>
      <c r="T86" s="1">
        <f>SUM(OSRRefT22_16x_0)</f>
        <v>9668</v>
      </c>
      <c r="U86" s="1"/>
      <c r="V86" s="5">
        <f t="shared" si="73"/>
        <v>9.9050273033696359E-2</v>
      </c>
      <c r="W86" s="1"/>
      <c r="X86" s="1">
        <f t="shared" si="74"/>
        <v>-2468</v>
      </c>
      <c r="Y86" s="1"/>
      <c r="Z86" s="5">
        <f t="shared" si="75"/>
        <v>-0.25527513446421185</v>
      </c>
    </row>
    <row r="87" spans="1:26" s="24" customFormat="1" hidden="1" outlineLevel="2" x14ac:dyDescent="0.25">
      <c r="A87" s="27"/>
      <c r="B87" s="11" t="str">
        <f>CONCATENATE("          ", "6274", " - ", "UTILITIES")</f>
        <v xml:space="preserve">          6274 - UTILITIES</v>
      </c>
      <c r="C87" s="11"/>
      <c r="D87" s="7"/>
      <c r="E87" s="2"/>
      <c r="F87" s="6">
        <f t="shared" si="68"/>
        <v>0</v>
      </c>
      <c r="G87" s="2"/>
      <c r="H87" s="7">
        <v>2417</v>
      </c>
      <c r="I87" s="2"/>
      <c r="J87" s="6">
        <f t="shared" si="69"/>
        <v>5.366221886725428E-2</v>
      </c>
      <c r="K87" s="2"/>
      <c r="L87" s="7">
        <f t="shared" si="70"/>
        <v>-2417</v>
      </c>
      <c r="M87" s="2"/>
      <c r="N87" s="6">
        <f t="shared" si="71"/>
        <v>-1</v>
      </c>
      <c r="O87" s="11"/>
      <c r="P87" s="7">
        <v>7200</v>
      </c>
      <c r="Q87" s="2"/>
      <c r="R87" s="6">
        <f t="shared" si="72"/>
        <v>3.4384369591475963E-2</v>
      </c>
      <c r="S87" s="2"/>
      <c r="T87" s="7">
        <v>9668</v>
      </c>
      <c r="U87" s="2"/>
      <c r="V87" s="6">
        <f t="shared" si="73"/>
        <v>9.9050273033696359E-2</v>
      </c>
      <c r="W87" s="2"/>
      <c r="X87" s="7">
        <f t="shared" si="74"/>
        <v>-2468</v>
      </c>
      <c r="Y87" s="2"/>
      <c r="Z87" s="6">
        <f t="shared" si="75"/>
        <v>-0.25527513446421185</v>
      </c>
    </row>
    <row r="88" spans="1:26" s="60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collapsed="1" x14ac:dyDescent="0.25">
      <c r="A89" s="10"/>
      <c r="B89" s="25" t="s">
        <v>293</v>
      </c>
      <c r="C89" s="10"/>
      <c r="D89" s="4">
        <f>SUM(OSRRefD25x_0)</f>
        <v>0</v>
      </c>
      <c r="E89" s="4"/>
      <c r="F89" s="12">
        <f t="shared" ref="F89:F90" si="76">IF(D$12=0,0,D89/D$12)</f>
        <v>0</v>
      </c>
      <c r="G89" s="4"/>
      <c r="H89" s="4">
        <f>SUM(OSRRefH25x_0)</f>
        <v>0</v>
      </c>
      <c r="I89" s="4"/>
      <c r="J89" s="12">
        <f t="shared" ref="J89:J90" si="77">IF(H$12=0,0,H89/H$12)</f>
        <v>0</v>
      </c>
      <c r="K89" s="4"/>
      <c r="L89" s="4">
        <f t="shared" ref="L89:L90" si="78">+D89-H89</f>
        <v>0</v>
      </c>
      <c r="M89" s="4"/>
      <c r="N89" s="12">
        <f t="shared" ref="N89:N90" si="79">IF(H89=0,0,L89/H89)</f>
        <v>0</v>
      </c>
      <c r="O89" s="10"/>
      <c r="P89" s="4">
        <f>SUM(OSRRefP25x_0)</f>
        <v>2.33</v>
      </c>
      <c r="Q89" s="4"/>
      <c r="R89" s="12">
        <f t="shared" ref="R89:R90" si="80">IF(P$12=0,0,P89/P$12)</f>
        <v>1.1127164048352638E-5</v>
      </c>
      <c r="S89" s="4"/>
      <c r="T89" s="4">
        <f>SUM(OSRRefT25x_0)</f>
        <v>0</v>
      </c>
      <c r="U89" s="4"/>
      <c r="V89" s="12">
        <f t="shared" ref="V89:V90" si="81">IF(T$12=0,0,T89/T$12)</f>
        <v>0</v>
      </c>
      <c r="W89" s="4"/>
      <c r="X89" s="4">
        <f t="shared" ref="X89:X90" si="82">+P89-T89</f>
        <v>2.33</v>
      </c>
      <c r="Y89" s="4"/>
      <c r="Z89" s="12">
        <f t="shared" ref="Z89:Z90" si="83">IF(T89=0,0,X89/T89)</f>
        <v>0</v>
      </c>
    </row>
    <row r="90" spans="1:26" s="24" customFormat="1" hidden="1" outlineLevel="1" x14ac:dyDescent="0.25">
      <c r="A90" s="44"/>
      <c r="B90" s="11" t="str">
        <f>CONCATENATE("          ", "9150", " - ", "MISC. INCOME")</f>
        <v xml:space="preserve">          9150 - MISC. INCOME</v>
      </c>
      <c r="C90" s="11"/>
      <c r="D90" s="2">
        <f>0</f>
        <v>0</v>
      </c>
      <c r="E90" s="2"/>
      <c r="F90" s="19">
        <f t="shared" si="76"/>
        <v>0</v>
      </c>
      <c r="G90" s="2"/>
      <c r="H90" s="2"/>
      <c r="I90" s="2"/>
      <c r="J90" s="19">
        <f t="shared" si="77"/>
        <v>0</v>
      </c>
      <c r="K90" s="2"/>
      <c r="L90" s="2">
        <f t="shared" si="78"/>
        <v>0</v>
      </c>
      <c r="M90" s="2"/>
      <c r="N90" s="19">
        <f t="shared" si="79"/>
        <v>0</v>
      </c>
      <c r="O90" s="11"/>
      <c r="P90" s="2">
        <f>--2.33</f>
        <v>2.33</v>
      </c>
      <c r="Q90" s="2"/>
      <c r="R90" s="19">
        <f t="shared" si="80"/>
        <v>1.1127164048352638E-5</v>
      </c>
      <c r="S90" s="2"/>
      <c r="T90" s="2"/>
      <c r="U90" s="2"/>
      <c r="V90" s="19">
        <f t="shared" si="81"/>
        <v>0</v>
      </c>
      <c r="W90" s="2"/>
      <c r="X90" s="2">
        <f t="shared" si="82"/>
        <v>2.33</v>
      </c>
      <c r="Y90" s="2"/>
      <c r="Z90" s="19">
        <f t="shared" si="83"/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6" t="s">
        <v>277</v>
      </c>
      <c r="C92" s="26"/>
      <c r="D92" s="21">
        <f>+D23-D25+D89</f>
        <v>-32006.930000000008</v>
      </c>
      <c r="E92" s="13"/>
      <c r="F92" s="20">
        <f>IF(D$12=0,0,D92/D$12)</f>
        <v>-0.36180351653394943</v>
      </c>
      <c r="G92" s="13"/>
      <c r="H92" s="21">
        <f>+H23-H25+H89</f>
        <v>-30513.451793378852</v>
      </c>
      <c r="I92" s="13"/>
      <c r="J92" s="20">
        <f>IF(H$12=0,0,H92/H$12)</f>
        <v>-0.67745946567302795</v>
      </c>
      <c r="K92" s="15"/>
      <c r="L92" s="21">
        <f>+D92-H92</f>
        <v>-1493.4782066211556</v>
      </c>
      <c r="M92" s="15"/>
      <c r="N92" s="20">
        <f>IF(H92=0,0,L92/H92)</f>
        <v>4.8944911796089459E-2</v>
      </c>
      <c r="O92" s="25"/>
      <c r="P92" s="21">
        <f>+P23-P25+P89</f>
        <v>-168090.44</v>
      </c>
      <c r="Q92" s="13"/>
      <c r="R92" s="20">
        <f>IF(P$12=0,0,P92/P$12)</f>
        <v>-0.80273386302136318</v>
      </c>
      <c r="S92" s="13"/>
      <c r="T92" s="21">
        <f>+T23-T25+T89</f>
        <v>-165840.1350444837</v>
      </c>
      <c r="U92" s="13"/>
      <c r="V92" s="20">
        <f>IF(T$12=0,0,T92/T$12)</f>
        <v>-1.699059852720437</v>
      </c>
      <c r="W92" s="15"/>
      <c r="X92" s="21">
        <f>+P92-T92</f>
        <v>-2250.3049555163016</v>
      </c>
      <c r="Y92" s="15"/>
      <c r="Z92" s="20">
        <f>IF(T92=0,0,X92/T92)</f>
        <v>1.3569121581532098E-2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128</v>
      </c>
      <c r="C94" s="10"/>
      <c r="D94" s="4">
        <v>9236.1200000000008</v>
      </c>
      <c r="E94" s="4"/>
      <c r="F94" s="12">
        <f>IF(D$12=0,0,D94/D$12)</f>
        <v>0.10440428666946629</v>
      </c>
      <c r="G94" s="4"/>
      <c r="H94" s="4">
        <v>5516</v>
      </c>
      <c r="I94" s="4"/>
      <c r="J94" s="12">
        <f>IF(H$12=0,0,H94/H$12)</f>
        <v>0.12246619746453231</v>
      </c>
      <c r="K94" s="4"/>
      <c r="L94" s="4">
        <f>+D94-H94</f>
        <v>3720.1200000000008</v>
      </c>
      <c r="M94" s="4"/>
      <c r="N94" s="12">
        <f>IF(H94=0,0,L94/H94)</f>
        <v>0.67442349528643963</v>
      </c>
      <c r="O94" s="10"/>
      <c r="P94" s="4">
        <v>24204.62</v>
      </c>
      <c r="Q94" s="4"/>
      <c r="R94" s="12">
        <f>IF(P$12=0,0,P94/P$12)</f>
        <v>0.11559174998628206</v>
      </c>
      <c r="S94" s="4"/>
      <c r="T94" s="4">
        <v>11224</v>
      </c>
      <c r="U94" s="4"/>
      <c r="V94" s="12">
        <f>IF(T$12=0,0,T94/T$12)</f>
        <v>0.11499175264069175</v>
      </c>
      <c r="W94" s="4"/>
      <c r="X94" s="4">
        <f>+P94-T94</f>
        <v>12980.619999999999</v>
      </c>
      <c r="Y94" s="4"/>
      <c r="Z94" s="12">
        <f>IF(T94=0,0,X94/T94)</f>
        <v>1.1565057020669991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6" t="s">
        <v>126</v>
      </c>
      <c r="C96" s="26"/>
      <c r="D96" s="31">
        <f>+D92-D94</f>
        <v>-41243.05000000001</v>
      </c>
      <c r="E96" s="13"/>
      <c r="F96" s="33">
        <f>IF(D$12=0,0,D96/D$12)</f>
        <v>-0.4662078032034157</v>
      </c>
      <c r="G96" s="13"/>
      <c r="H96" s="31">
        <f>+H92-H94</f>
        <v>-36029.451793378852</v>
      </c>
      <c r="I96" s="13"/>
      <c r="J96" s="33">
        <f>IF(H$12=0,0,H96/H$12)</f>
        <v>-0.79992566313756031</v>
      </c>
      <c r="K96" s="15"/>
      <c r="L96" s="31">
        <f>D96-H96</f>
        <v>-5213.5982066211582</v>
      </c>
      <c r="M96" s="15"/>
      <c r="N96" s="33">
        <f>IF(H96=0,0,L96/H96)</f>
        <v>0.14470378945869122</v>
      </c>
      <c r="O96" s="25"/>
      <c r="P96" s="31">
        <f>+P92-P94</f>
        <v>-192295.06</v>
      </c>
      <c r="Q96" s="13"/>
      <c r="R96" s="33">
        <f>IF(P$12=0,0,P96/P$12)</f>
        <v>-0.91832561300764526</v>
      </c>
      <c r="S96" s="13"/>
      <c r="T96" s="31">
        <f>+T92-T94</f>
        <v>-177064.1350444837</v>
      </c>
      <c r="U96" s="13"/>
      <c r="V96" s="33">
        <f>IF(T$12=0,0,T96/T$12)</f>
        <v>-1.8140516053611289</v>
      </c>
      <c r="W96" s="15"/>
      <c r="X96" s="31">
        <f>P96-T96</f>
        <v>-15230.924955516297</v>
      </c>
      <c r="Y96" s="15"/>
      <c r="Z96" s="33">
        <f>IF(T96=0,0,X96/T96)</f>
        <v>8.6019254840568604E-2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6" t="s">
        <v>294</v>
      </c>
      <c r="C99" s="26"/>
      <c r="D99" s="35">
        <f>SUM(D96:D98)</f>
        <v>-41243.05000000001</v>
      </c>
      <c r="E99" s="13"/>
      <c r="F99" s="32">
        <f>IF(D$12=0,0,D99/D$12)</f>
        <v>-0.4662078032034157</v>
      </c>
      <c r="G99" s="13"/>
      <c r="H99" s="35">
        <f>SUM(H96:H98)</f>
        <v>-36029.451793378852</v>
      </c>
      <c r="I99" s="13"/>
      <c r="J99" s="32">
        <f>IF(H$12=0,0,H99/H$12)</f>
        <v>-0.79992566313756031</v>
      </c>
      <c r="K99" s="15"/>
      <c r="L99" s="35">
        <f>+D99-H99</f>
        <v>-5213.5982066211582</v>
      </c>
      <c r="M99" s="15"/>
      <c r="N99" s="32">
        <f>IF(H99=0,0,L99/H99)</f>
        <v>0.14470378945869122</v>
      </c>
      <c r="O99" s="25"/>
      <c r="P99" s="35">
        <f>SUM(P96:P98)</f>
        <v>-192295.06</v>
      </c>
      <c r="Q99" s="13"/>
      <c r="R99" s="32">
        <f>IF(P$12=0,0,P99/P$12)</f>
        <v>-0.91832561300764526</v>
      </c>
      <c r="S99" s="13"/>
      <c r="T99" s="35">
        <f>SUM(T96:T98)</f>
        <v>-177064.1350444837</v>
      </c>
      <c r="U99" s="13"/>
      <c r="V99" s="32">
        <f>IF(T$12=0,0,T99/T$12)</f>
        <v>-1.8140516053611289</v>
      </c>
      <c r="W99" s="15"/>
      <c r="X99" s="35">
        <f>+P99-T99</f>
        <v>-15230.924955516297</v>
      </c>
      <c r="Y99" s="15"/>
      <c r="Z99" s="32">
        <f>IF(T99=0,0,X99/T99)</f>
        <v>8.6019254840568604E-2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9">
        <v>44517.962875613426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62" t="s">
        <v>56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57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218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","418", " - ", "Nugget")</f>
        <v>Department 418 - Nugget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69242</v>
      </c>
      <c r="I12" s="4"/>
      <c r="J12" s="12"/>
      <c r="K12" s="4"/>
      <c r="L12" s="4">
        <f t="shared" ref="L12:L14" si="0">+D12-H12</f>
        <v>-69242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150610</v>
      </c>
      <c r="U12" s="4"/>
      <c r="V12" s="12"/>
      <c r="W12" s="4"/>
      <c r="X12" s="4">
        <f t="shared" ref="X12:X14" si="2">+P12-T12</f>
        <v>-150610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24719</v>
      </c>
      <c r="I13" s="2"/>
      <c r="J13" s="19"/>
      <c r="K13" s="2"/>
      <c r="L13" s="2">
        <f t="shared" si="0"/>
        <v>-24719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53767</v>
      </c>
      <c r="U13" s="2"/>
      <c r="V13" s="19"/>
      <c r="W13" s="2"/>
      <c r="X13" s="2">
        <f t="shared" si="2"/>
        <v>-53767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44523</v>
      </c>
      <c r="I14" s="2"/>
      <c r="J14" s="19"/>
      <c r="K14" s="2"/>
      <c r="L14" s="2">
        <f t="shared" si="0"/>
        <v>-44523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96843</v>
      </c>
      <c r="U14" s="2"/>
      <c r="V14" s="19"/>
      <c r="W14" s="2"/>
      <c r="X14" s="2">
        <f t="shared" si="2"/>
        <v>-96843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257</v>
      </c>
      <c r="C16" s="10"/>
      <c r="D16" s="4">
        <f>SUM(OSRRefD16x_0)</f>
        <v>1837</v>
      </c>
      <c r="E16" s="4"/>
      <c r="F16" s="12">
        <f t="shared" ref="F16:F18" si="6">IF(D$12=0,0,D16/D$12)</f>
        <v>0</v>
      </c>
      <c r="G16" s="4"/>
      <c r="H16" s="4">
        <f>SUM(OSRRefH16x_0)</f>
        <v>22850</v>
      </c>
      <c r="I16" s="4"/>
      <c r="J16" s="12">
        <f t="shared" ref="J16:J18" si="7">IF(H$12=0,0,H16/H$12)</f>
        <v>0.33000202189422606</v>
      </c>
      <c r="K16" s="4"/>
      <c r="L16" s="4">
        <f t="shared" ref="L16:L18" si="8">+D16-H16</f>
        <v>-21013</v>
      </c>
      <c r="M16" s="4"/>
      <c r="N16" s="12">
        <f t="shared" ref="N16:N18" si="9">IF(H16=0,0,L16/H16)</f>
        <v>-0.91960612691466082</v>
      </c>
      <c r="O16" s="10"/>
      <c r="P16" s="4">
        <f>SUM(OSRRefP16x_0)</f>
        <v>1126.1199999999999</v>
      </c>
      <c r="Q16" s="4"/>
      <c r="R16" s="12">
        <f t="shared" ref="R16:R18" si="10">IF(P$12=0,0,P16/P$12)</f>
        <v>0</v>
      </c>
      <c r="S16" s="4"/>
      <c r="T16" s="4">
        <f>SUM(OSRRefT16x_0)</f>
        <v>51029</v>
      </c>
      <c r="U16" s="4"/>
      <c r="V16" s="12">
        <f t="shared" ref="V16:V18" si="11">IF(T$12=0,0,T16/T$12)</f>
        <v>0.33881548369962156</v>
      </c>
      <c r="W16" s="4"/>
      <c r="X16" s="4">
        <f t="shared" ref="X16:X18" si="12">+P16-T16</f>
        <v>-49902.879999999997</v>
      </c>
      <c r="Y16" s="4"/>
      <c r="Z16" s="12">
        <f t="shared" ref="Z16:Z18" si="13">IF(T16=0,0,X16/T16)</f>
        <v>-0.97793176429089335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22850</v>
      </c>
      <c r="I17" s="2"/>
      <c r="J17" s="19">
        <f t="shared" si="7"/>
        <v>0.33000202189422606</v>
      </c>
      <c r="K17" s="2"/>
      <c r="L17" s="2">
        <f t="shared" si="8"/>
        <v>-22850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51029</v>
      </c>
      <c r="U17" s="2"/>
      <c r="V17" s="19">
        <f t="shared" si="11"/>
        <v>0.33881548369962156</v>
      </c>
      <c r="W17" s="2"/>
      <c r="X17" s="2">
        <f t="shared" si="12"/>
        <v>-51029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1837</v>
      </c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1837</v>
      </c>
      <c r="M18" s="2"/>
      <c r="N18" s="19">
        <f t="shared" si="9"/>
        <v>0</v>
      </c>
      <c r="O18" s="11"/>
      <c r="P18" s="2">
        <v>1126.1199999999999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1126.1199999999999</v>
      </c>
      <c r="Y18" s="2"/>
      <c r="Z18" s="19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108</v>
      </c>
      <c r="C20" s="26"/>
      <c r="D20" s="21">
        <f>D12-D16</f>
        <v>-1837</v>
      </c>
      <c r="E20" s="13"/>
      <c r="F20" s="20">
        <f>IF(D$12=0,0,D20/D$12)</f>
        <v>0</v>
      </c>
      <c r="G20" s="13"/>
      <c r="H20" s="21">
        <f>H12-H16</f>
        <v>46392</v>
      </c>
      <c r="I20" s="13"/>
      <c r="J20" s="20">
        <f>IF(H$12=0,0,H20/H$12)</f>
        <v>0.66999797810577399</v>
      </c>
      <c r="K20" s="15"/>
      <c r="L20" s="21">
        <f>+D20-H20</f>
        <v>-48229</v>
      </c>
      <c r="M20" s="15"/>
      <c r="N20" s="20">
        <f>IF(H20=0,0,L20/H20)</f>
        <v>-1.0395973443697188</v>
      </c>
      <c r="O20" s="25"/>
      <c r="P20" s="21">
        <f>P12-P16</f>
        <v>-1126.1199999999999</v>
      </c>
      <c r="Q20" s="13"/>
      <c r="R20" s="20">
        <f>IF(P$12=0,0,P20/P$12)</f>
        <v>0</v>
      </c>
      <c r="S20" s="13"/>
      <c r="T20" s="21">
        <f>T12-T16</f>
        <v>99581</v>
      </c>
      <c r="U20" s="13"/>
      <c r="V20" s="20">
        <f>IF(T$12=0,0,T20/T$12)</f>
        <v>0.66118451630037844</v>
      </c>
      <c r="W20" s="15"/>
      <c r="X20" s="21">
        <f>+P20-T20</f>
        <v>-100707.12</v>
      </c>
      <c r="Y20" s="15"/>
      <c r="Z20" s="20">
        <f>IF(T20=0,0,X20/T20)</f>
        <v>-1.0113085829626134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295</v>
      </c>
      <c r="C22" s="10"/>
      <c r="D22" s="22">
        <f>SUM(OSRRefD22x_0)</f>
        <v>12695.1</v>
      </c>
      <c r="E22" s="22"/>
      <c r="F22" s="34">
        <f t="shared" ref="F22:F32" si="14">IF(D$12=0,0,D22/D$12)</f>
        <v>0</v>
      </c>
      <c r="G22" s="22"/>
      <c r="H22" s="22">
        <f>SUM(OSRRefH22x_0)</f>
        <v>46415.130726923075</v>
      </c>
      <c r="I22" s="22"/>
      <c r="J22" s="34">
        <f t="shared" ref="J22:J32" si="15">IF(H$12=0,0,H22/H$12)</f>
        <v>0.67033203441441713</v>
      </c>
      <c r="K22" s="4"/>
      <c r="L22" s="22">
        <f t="shared" ref="L22:L32" si="16">+D22-H22</f>
        <v>-33720.030726923076</v>
      </c>
      <c r="M22" s="4"/>
      <c r="N22" s="34">
        <f t="shared" ref="N22:N32" si="17">IF(H22=0,0,L22/H22)</f>
        <v>-0.72648789734774544</v>
      </c>
      <c r="O22" s="10"/>
      <c r="P22" s="22">
        <f>SUM(OSRRefP22x_0)</f>
        <v>73933.569999999992</v>
      </c>
      <c r="Q22" s="22"/>
      <c r="R22" s="34">
        <f t="shared" ref="R22:R32" si="18">IF(P$12=0,0,P22/P$12)</f>
        <v>0</v>
      </c>
      <c r="S22" s="22"/>
      <c r="T22" s="22">
        <f>SUM(OSRRefT22x_0)</f>
        <v>163330.54031615378</v>
      </c>
      <c r="U22" s="22"/>
      <c r="V22" s="34">
        <f t="shared" ref="V22:V32" si="19">IF(T$12=0,0,T22/T$12)</f>
        <v>1.0844601309086632</v>
      </c>
      <c r="W22" s="4"/>
      <c r="X22" s="22">
        <f t="shared" ref="X22:X32" si="20">+P22-T22</f>
        <v>-89396.970316153791</v>
      </c>
      <c r="Y22" s="4"/>
      <c r="Z22" s="34">
        <f t="shared" ref="Z22:Z32" si="21">IF(T22=0,0,X22/T22)</f>
        <v>-0.54733774922381873</v>
      </c>
    </row>
    <row r="23" spans="1:26" s="28" customFormat="1" outlineLevel="1" collapsed="1" x14ac:dyDescent="0.25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122.28</v>
      </c>
      <c r="E23" s="1"/>
      <c r="F23" s="5">
        <f t="shared" si="14"/>
        <v>0</v>
      </c>
      <c r="G23" s="1"/>
      <c r="H23" s="1">
        <f>SUM(OSRRefH22_0x_0)</f>
        <v>10468.78072692308</v>
      </c>
      <c r="I23" s="1"/>
      <c r="J23" s="5">
        <f t="shared" si="15"/>
        <v>0.15119119503947143</v>
      </c>
      <c r="K23" s="1"/>
      <c r="L23" s="1">
        <f t="shared" si="16"/>
        <v>-10346.500726923079</v>
      </c>
      <c r="M23" s="1"/>
      <c r="N23" s="5">
        <f t="shared" si="17"/>
        <v>-0.98831955667143478</v>
      </c>
      <c r="O23" s="14"/>
      <c r="P23" s="1">
        <f>SUM(OSRRefP22_0x_0)</f>
        <v>14733.2</v>
      </c>
      <c r="Q23" s="1"/>
      <c r="R23" s="5">
        <f t="shared" si="18"/>
        <v>0</v>
      </c>
      <c r="S23" s="1"/>
      <c r="T23" s="1">
        <f>SUM(OSRRefT22_0x_0)</f>
        <v>34648.470316153798</v>
      </c>
      <c r="U23" s="1"/>
      <c r="V23" s="5">
        <f t="shared" si="19"/>
        <v>0.23005424816515369</v>
      </c>
      <c r="W23" s="1"/>
      <c r="X23" s="1">
        <f t="shared" si="20"/>
        <v>-19915.270316153797</v>
      </c>
      <c r="Y23" s="1"/>
      <c r="Z23" s="5">
        <f t="shared" si="21"/>
        <v>-0.57478065075989537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7">
        <v>122.28</v>
      </c>
      <c r="E24" s="2"/>
      <c r="F24" s="6">
        <f t="shared" si="14"/>
        <v>0</v>
      </c>
      <c r="G24" s="2"/>
      <c r="H24" s="7">
        <v>957.00765000000001</v>
      </c>
      <c r="I24" s="2"/>
      <c r="J24" s="6">
        <f t="shared" si="15"/>
        <v>1.3821201727275353E-2</v>
      </c>
      <c r="K24" s="2"/>
      <c r="L24" s="7">
        <f t="shared" si="16"/>
        <v>-834.72765000000004</v>
      </c>
      <c r="M24" s="2"/>
      <c r="N24" s="6">
        <f t="shared" si="17"/>
        <v>-0.87222672671425361</v>
      </c>
      <c r="O24" s="11"/>
      <c r="P24" s="7">
        <v>1778.35</v>
      </c>
      <c r="Q24" s="2"/>
      <c r="R24" s="6">
        <f t="shared" si="18"/>
        <v>0</v>
      </c>
      <c r="S24" s="2"/>
      <c r="T24" s="7">
        <v>3145.30647</v>
      </c>
      <c r="U24" s="2"/>
      <c r="V24" s="6">
        <f t="shared" si="19"/>
        <v>2.0883782418166123E-2</v>
      </c>
      <c r="W24" s="2"/>
      <c r="X24" s="7">
        <f t="shared" si="20"/>
        <v>-1366.9564700000001</v>
      </c>
      <c r="Y24" s="2"/>
      <c r="Z24" s="6">
        <f t="shared" si="21"/>
        <v>-0.4346019960337919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779.03449999999998</v>
      </c>
      <c r="I25" s="2"/>
      <c r="J25" s="6">
        <f t="shared" si="15"/>
        <v>1.1250895410300107E-2</v>
      </c>
      <c r="K25" s="2"/>
      <c r="L25" s="7">
        <f t="shared" si="16"/>
        <v>-779.03449999999998</v>
      </c>
      <c r="M25" s="2"/>
      <c r="N25" s="6">
        <f t="shared" si="17"/>
        <v>-1</v>
      </c>
      <c r="O25" s="11"/>
      <c r="P25" s="7">
        <v>770.48</v>
      </c>
      <c r="Q25" s="2"/>
      <c r="R25" s="6">
        <f t="shared" si="18"/>
        <v>0</v>
      </c>
      <c r="S25" s="2"/>
      <c r="T25" s="7">
        <v>2288.6673000000001</v>
      </c>
      <c r="U25" s="2"/>
      <c r="V25" s="6">
        <f t="shared" si="19"/>
        <v>1.5195984994356286E-2</v>
      </c>
      <c r="W25" s="2"/>
      <c r="X25" s="7">
        <f t="shared" si="20"/>
        <v>-1518.1873000000001</v>
      </c>
      <c r="Y25" s="2"/>
      <c r="Z25" s="6">
        <f t="shared" si="21"/>
        <v>-0.66334993295006228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6156.9230769230799</v>
      </c>
      <c r="I26" s="2"/>
      <c r="J26" s="6">
        <f t="shared" si="15"/>
        <v>8.89189087103648E-2</v>
      </c>
      <c r="K26" s="2"/>
      <c r="L26" s="7">
        <f t="shared" si="16"/>
        <v>-6156.9230769230799</v>
      </c>
      <c r="M26" s="2"/>
      <c r="N26" s="6">
        <f t="shared" si="17"/>
        <v>-1</v>
      </c>
      <c r="O26" s="11"/>
      <c r="P26" s="7">
        <v>10053.08</v>
      </c>
      <c r="Q26" s="2"/>
      <c r="R26" s="6">
        <f t="shared" si="18"/>
        <v>0</v>
      </c>
      <c r="S26" s="2"/>
      <c r="T26" s="7">
        <v>20902.753846153799</v>
      </c>
      <c r="U26" s="2"/>
      <c r="V26" s="6">
        <f t="shared" si="19"/>
        <v>0.13878729065901202</v>
      </c>
      <c r="W26" s="2"/>
      <c r="X26" s="7">
        <f t="shared" si="20"/>
        <v>-10849.673846153799</v>
      </c>
      <c r="Y26" s="2"/>
      <c r="Z26" s="6">
        <f t="shared" si="21"/>
        <v>-0.51905475833511705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43.165500000000002</v>
      </c>
      <c r="I27" s="2"/>
      <c r="J27" s="6">
        <f t="shared" si="15"/>
        <v>6.2340053724618013E-4</v>
      </c>
      <c r="K27" s="2"/>
      <c r="L27" s="7">
        <f t="shared" si="16"/>
        <v>-43.165500000000002</v>
      </c>
      <c r="M27" s="2"/>
      <c r="N27" s="6">
        <f t="shared" si="17"/>
        <v>-1</v>
      </c>
      <c r="O27" s="11"/>
      <c r="P27" s="7">
        <v>57.01</v>
      </c>
      <c r="Q27" s="2"/>
      <c r="R27" s="6">
        <f t="shared" si="18"/>
        <v>0</v>
      </c>
      <c r="S27" s="2"/>
      <c r="T27" s="7">
        <v>126.81270000000001</v>
      </c>
      <c r="U27" s="2"/>
      <c r="V27" s="6">
        <f t="shared" si="19"/>
        <v>8.4199389150786804E-4</v>
      </c>
      <c r="W27" s="2"/>
      <c r="X27" s="7">
        <f t="shared" si="20"/>
        <v>-69.802700000000016</v>
      </c>
      <c r="Y27" s="2"/>
      <c r="Z27" s="6">
        <f t="shared" si="21"/>
        <v>-0.55043934874030764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7"/>
      <c r="B29" s="11" t="str">
        <f>CONCATENATE("          ", "6116", " - ", "EDUCATIONAL BENEFITS")</f>
        <v xml:space="preserve">          6116 - EDUCATIONAL BENEFITS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0</v>
      </c>
      <c r="Y29" s="2"/>
      <c r="Z29" s="6">
        <f t="shared" si="21"/>
        <v>0</v>
      </c>
    </row>
    <row r="30" spans="1:26" s="24" customFormat="1" hidden="1" outlineLevel="2" x14ac:dyDescent="0.25">
      <c r="A30" s="27"/>
      <c r="B30" s="11" t="str">
        <f>CONCATENATE("          ", "6118", " - ", "VACATION")</f>
        <v xml:space="preserve">          6118 - VACATION</v>
      </c>
      <c r="C30" s="11"/>
      <c r="D30" s="7"/>
      <c r="E30" s="2"/>
      <c r="F30" s="6">
        <f t="shared" si="14"/>
        <v>0</v>
      </c>
      <c r="G30" s="2"/>
      <c r="H30" s="7">
        <v>324</v>
      </c>
      <c r="I30" s="2"/>
      <c r="J30" s="6">
        <f t="shared" si="15"/>
        <v>4.6792409231391349E-3</v>
      </c>
      <c r="K30" s="2"/>
      <c r="L30" s="7">
        <f t="shared" si="16"/>
        <v>-324</v>
      </c>
      <c r="M30" s="2"/>
      <c r="N30" s="6">
        <f t="shared" si="17"/>
        <v>-1</v>
      </c>
      <c r="O30" s="11"/>
      <c r="P30" s="7">
        <v>711.32</v>
      </c>
      <c r="Q30" s="2"/>
      <c r="R30" s="6">
        <f t="shared" si="18"/>
        <v>0</v>
      </c>
      <c r="S30" s="2"/>
      <c r="T30" s="7">
        <v>1099.98</v>
      </c>
      <c r="U30" s="2"/>
      <c r="V30" s="6">
        <f t="shared" si="19"/>
        <v>7.3034991036451764E-3</v>
      </c>
      <c r="W30" s="2"/>
      <c r="X30" s="7">
        <f t="shared" si="20"/>
        <v>-388.65999999999997</v>
      </c>
      <c r="Y30" s="2"/>
      <c r="Z30" s="6">
        <f t="shared" si="21"/>
        <v>-0.35333369697630862</v>
      </c>
    </row>
    <row r="31" spans="1:26" s="24" customFormat="1" hidden="1" outlineLevel="2" x14ac:dyDescent="0.25">
      <c r="A31" s="27"/>
      <c r="B31" s="11" t="str">
        <f>CONCATENATE("          ", "6119", " - ", "SICK LEAVE")</f>
        <v xml:space="preserve">          6119 - SICK LEAVE</v>
      </c>
      <c r="C31" s="11"/>
      <c r="D31" s="7"/>
      <c r="E31" s="2"/>
      <c r="F31" s="6">
        <f t="shared" si="14"/>
        <v>0</v>
      </c>
      <c r="G31" s="2"/>
      <c r="H31" s="7">
        <v>508.65</v>
      </c>
      <c r="I31" s="2"/>
      <c r="J31" s="6">
        <f t="shared" si="15"/>
        <v>7.3459749862800029E-3</v>
      </c>
      <c r="K31" s="2"/>
      <c r="L31" s="7">
        <f t="shared" si="16"/>
        <v>-508.65</v>
      </c>
      <c r="M31" s="2"/>
      <c r="N31" s="6">
        <f t="shared" si="17"/>
        <v>-1</v>
      </c>
      <c r="O31" s="11"/>
      <c r="P31" s="7">
        <v>673.46</v>
      </c>
      <c r="Q31" s="2"/>
      <c r="R31" s="6">
        <f t="shared" si="18"/>
        <v>0</v>
      </c>
      <c r="S31" s="2"/>
      <c r="T31" s="7">
        <v>1444.95</v>
      </c>
      <c r="U31" s="2"/>
      <c r="V31" s="6">
        <f t="shared" si="19"/>
        <v>9.593984463183056E-3</v>
      </c>
      <c r="W31" s="2"/>
      <c r="X31" s="7">
        <f t="shared" si="20"/>
        <v>-771.49</v>
      </c>
      <c r="Y31" s="2"/>
      <c r="Z31" s="6">
        <f t="shared" si="21"/>
        <v>-0.53392158898231767</v>
      </c>
    </row>
    <row r="32" spans="1:26" s="24" customFormat="1" hidden="1" outlineLevel="2" x14ac:dyDescent="0.25">
      <c r="A32" s="27"/>
      <c r="B32" s="11" t="str">
        <f>CONCATENATE("          ", "6156", " - ", "EMPLOYEE MEALS")</f>
        <v xml:space="preserve">          6156 - EMPLOYEE MEALS</v>
      </c>
      <c r="C32" s="11"/>
      <c r="D32" s="7"/>
      <c r="E32" s="2"/>
      <c r="F32" s="6">
        <f t="shared" si="14"/>
        <v>0</v>
      </c>
      <c r="G32" s="2"/>
      <c r="H32" s="7">
        <v>1700</v>
      </c>
      <c r="I32" s="2"/>
      <c r="J32" s="6">
        <f t="shared" si="15"/>
        <v>2.4551572744865833E-2</v>
      </c>
      <c r="K32" s="2"/>
      <c r="L32" s="7">
        <f t="shared" si="16"/>
        <v>-1700</v>
      </c>
      <c r="M32" s="2"/>
      <c r="N32" s="6">
        <f t="shared" si="17"/>
        <v>-1</v>
      </c>
      <c r="O32" s="11"/>
      <c r="P32" s="7">
        <v>689.5</v>
      </c>
      <c r="Q32" s="2"/>
      <c r="R32" s="6">
        <f t="shared" si="18"/>
        <v>0</v>
      </c>
      <c r="S32" s="2"/>
      <c r="T32" s="7">
        <v>5640</v>
      </c>
      <c r="U32" s="2"/>
      <c r="V32" s="6">
        <f t="shared" si="19"/>
        <v>3.7447712635283181E-2</v>
      </c>
      <c r="W32" s="2"/>
      <c r="X32" s="7">
        <f t="shared" si="20"/>
        <v>-4950.5</v>
      </c>
      <c r="Y32" s="2"/>
      <c r="Z32" s="6">
        <f t="shared" si="21"/>
        <v>-0.87774822695035459</v>
      </c>
    </row>
    <row r="33" spans="1:26" s="28" customFormat="1" outlineLevel="1" collapsed="1" x14ac:dyDescent="0.25">
      <c r="A33" s="29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1598.5</v>
      </c>
      <c r="E33" s="1"/>
      <c r="F33" s="5">
        <f t="shared" ref="F33:F43" si="22">IF(D$12=0,0,D33/D$12)</f>
        <v>0</v>
      </c>
      <c r="G33" s="1"/>
      <c r="H33" s="1">
        <f>SUM(OSRRefH22_1x_0)</f>
        <v>19722.349999999999</v>
      </c>
      <c r="I33" s="1"/>
      <c r="J33" s="5">
        <f t="shared" ref="J33:J43" si="23">IF(H$12=0,0,H33/H$12)</f>
        <v>0.284832182779238</v>
      </c>
      <c r="K33" s="1"/>
      <c r="L33" s="1">
        <f t="shared" ref="L33:L43" si="24">+D33-H33</f>
        <v>-18123.849999999999</v>
      </c>
      <c r="M33" s="1"/>
      <c r="N33" s="5">
        <f t="shared" ref="N33:N43" si="25">IF(H33=0,0,L33/H33)</f>
        <v>-0.91894982088848443</v>
      </c>
      <c r="O33" s="14"/>
      <c r="P33" s="1">
        <f>SUM(OSRRefP22_1x_0)</f>
        <v>21623.61</v>
      </c>
      <c r="Q33" s="1"/>
      <c r="R33" s="5">
        <f t="shared" ref="R33:R43" si="26">IF(P$12=0,0,P33/P$12)</f>
        <v>0</v>
      </c>
      <c r="S33" s="1"/>
      <c r="T33" s="1">
        <f>SUM(OSRRefT22_1x_0)</f>
        <v>57842.07</v>
      </c>
      <c r="U33" s="1"/>
      <c r="V33" s="5">
        <f t="shared" ref="V33:V43" si="27">IF(T$12=0,0,T33/T$12)</f>
        <v>0.38405198857977557</v>
      </c>
      <c r="W33" s="1"/>
      <c r="X33" s="1">
        <f t="shared" ref="X33:X43" si="28">+P33-T33</f>
        <v>-36218.46</v>
      </c>
      <c r="Y33" s="1"/>
      <c r="Z33" s="5">
        <f t="shared" ref="Z33:Z43" si="29">IF(T33=0,0,X33/T33)</f>
        <v>-0.62616120066242442</v>
      </c>
    </row>
    <row r="34" spans="1:26" s="24" customFormat="1" hidden="1" outlineLevel="2" x14ac:dyDescent="0.25">
      <c r="A34" s="27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7"/>
      <c r="B35" s="11" t="str">
        <f>CONCATENATE("          ", "6002", " - ", "STAFF SALARIES")</f>
        <v xml:space="preserve">          6002 - STAFF SALARIES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7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7"/>
      <c r="B37" s="11" t="str">
        <f>CONCATENATE("          ", "6004", " - ", "STAFF HOURLY")</f>
        <v xml:space="preserve">          6004 - STAFF HOURLY</v>
      </c>
      <c r="C37" s="11"/>
      <c r="D37" s="7">
        <v>1598.5</v>
      </c>
      <c r="E37" s="2"/>
      <c r="F37" s="6">
        <f t="shared" si="22"/>
        <v>0</v>
      </c>
      <c r="G37" s="2"/>
      <c r="H37" s="7">
        <v>10260</v>
      </c>
      <c r="I37" s="2"/>
      <c r="J37" s="6">
        <f t="shared" si="23"/>
        <v>0.14817596256607263</v>
      </c>
      <c r="K37" s="2"/>
      <c r="L37" s="7">
        <f t="shared" si="24"/>
        <v>-8661.5</v>
      </c>
      <c r="M37" s="2"/>
      <c r="N37" s="6">
        <f t="shared" si="25"/>
        <v>-0.84420077972709551</v>
      </c>
      <c r="O37" s="11"/>
      <c r="P37" s="7">
        <v>13377.56</v>
      </c>
      <c r="Q37" s="2"/>
      <c r="R37" s="6">
        <f t="shared" si="26"/>
        <v>0</v>
      </c>
      <c r="S37" s="2"/>
      <c r="T37" s="7">
        <v>34832.699999999997</v>
      </c>
      <c r="U37" s="2"/>
      <c r="V37" s="6">
        <f t="shared" si="27"/>
        <v>0.23127747161543055</v>
      </c>
      <c r="W37" s="2"/>
      <c r="X37" s="7">
        <f t="shared" si="28"/>
        <v>-21455.14</v>
      </c>
      <c r="Y37" s="2"/>
      <c r="Z37" s="6">
        <f t="shared" si="29"/>
        <v>-0.6159482325515967</v>
      </c>
    </row>
    <row r="38" spans="1:26" s="24" customFormat="1" hidden="1" outlineLevel="2" x14ac:dyDescent="0.25">
      <c r="A38" s="27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2"/>
        <v>0</v>
      </c>
      <c r="G38" s="2"/>
      <c r="H38" s="7">
        <v>6246.8</v>
      </c>
      <c r="I38" s="2"/>
      <c r="J38" s="6">
        <f t="shared" si="23"/>
        <v>9.0216920366251702E-2</v>
      </c>
      <c r="K38" s="2"/>
      <c r="L38" s="7">
        <f t="shared" si="24"/>
        <v>-6246.8</v>
      </c>
      <c r="M38" s="2"/>
      <c r="N38" s="6">
        <f t="shared" si="25"/>
        <v>-1</v>
      </c>
      <c r="O38" s="11"/>
      <c r="P38" s="7">
        <v>8246.0499999999993</v>
      </c>
      <c r="Q38" s="2"/>
      <c r="R38" s="6">
        <f t="shared" si="26"/>
        <v>0</v>
      </c>
      <c r="S38" s="2"/>
      <c r="T38" s="7">
        <v>15450.16</v>
      </c>
      <c r="U38" s="2"/>
      <c r="V38" s="6">
        <f t="shared" si="27"/>
        <v>0.10258389217183454</v>
      </c>
      <c r="W38" s="2"/>
      <c r="X38" s="7">
        <f t="shared" si="28"/>
        <v>-7204.1100000000006</v>
      </c>
      <c r="Y38" s="2"/>
      <c r="Z38" s="6">
        <f t="shared" si="29"/>
        <v>-0.46628060809726246</v>
      </c>
    </row>
    <row r="39" spans="1:26" s="24" customFormat="1" hidden="1" outlineLevel="2" x14ac:dyDescent="0.25">
      <c r="A39" s="27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7"/>
      <c r="B40" s="11" t="str">
        <f>CONCATENATE("          ", "6007", " - ", "STUDENT HOURLY")</f>
        <v xml:space="preserve">          6007 - STUDENT HOURLY</v>
      </c>
      <c r="C40" s="11"/>
      <c r="D40" s="7"/>
      <c r="E40" s="2"/>
      <c r="F40" s="6">
        <f t="shared" si="22"/>
        <v>0</v>
      </c>
      <c r="G40" s="2"/>
      <c r="H40" s="7">
        <v>1653.85</v>
      </c>
      <c r="I40" s="2"/>
      <c r="J40" s="6">
        <f t="shared" si="23"/>
        <v>2.3885069755350798E-2</v>
      </c>
      <c r="K40" s="2"/>
      <c r="L40" s="7">
        <f t="shared" si="24"/>
        <v>-1653.85</v>
      </c>
      <c r="M40" s="2"/>
      <c r="N40" s="6">
        <f t="shared" si="25"/>
        <v>-1</v>
      </c>
      <c r="O40" s="11"/>
      <c r="P40" s="7">
        <v>0</v>
      </c>
      <c r="Q40" s="2"/>
      <c r="R40" s="6">
        <f t="shared" si="26"/>
        <v>0</v>
      </c>
      <c r="S40" s="2"/>
      <c r="T40" s="7">
        <v>4300.01</v>
      </c>
      <c r="U40" s="2"/>
      <c r="V40" s="6">
        <f t="shared" si="27"/>
        <v>2.8550627448376602E-2</v>
      </c>
      <c r="W40" s="2"/>
      <c r="X40" s="7">
        <f t="shared" si="28"/>
        <v>-4300.01</v>
      </c>
      <c r="Y40" s="2"/>
      <c r="Z40" s="6">
        <f t="shared" si="29"/>
        <v>-1</v>
      </c>
    </row>
    <row r="41" spans="1:26" s="24" customFormat="1" hidden="1" outlineLevel="2" x14ac:dyDescent="0.25">
      <c r="A41" s="27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2"/>
        <v>0</v>
      </c>
      <c r="G41" s="2"/>
      <c r="H41" s="7">
        <v>1561.7</v>
      </c>
      <c r="I41" s="2"/>
      <c r="J41" s="6">
        <f t="shared" si="23"/>
        <v>2.2554230091562925E-2</v>
      </c>
      <c r="K41" s="2"/>
      <c r="L41" s="7">
        <f t="shared" si="24"/>
        <v>-1561.7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3259.2</v>
      </c>
      <c r="U41" s="2"/>
      <c r="V41" s="6">
        <f t="shared" si="27"/>
        <v>2.1639997344133854E-2</v>
      </c>
      <c r="W41" s="2"/>
      <c r="X41" s="7">
        <f t="shared" si="28"/>
        <v>-3259.2</v>
      </c>
      <c r="Y41" s="2"/>
      <c r="Z41" s="6">
        <f t="shared" si="29"/>
        <v>-1</v>
      </c>
    </row>
    <row r="42" spans="1:26" s="24" customFormat="1" hidden="1" outlineLevel="2" x14ac:dyDescent="0.25">
      <c r="A42" s="27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25">
      <c r="A43" s="27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8" customFormat="1" outlineLevel="1" collapsed="1" x14ac:dyDescent="0.25">
      <c r="A44" s="29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0" si="30">IF(D$12=0,0,D44/D$12)</f>
        <v>0</v>
      </c>
      <c r="G44" s="1"/>
      <c r="H44" s="1">
        <f>SUM(OSRRefH22_2x_0)</f>
        <v>0</v>
      </c>
      <c r="I44" s="1"/>
      <c r="J44" s="5">
        <f t="shared" ref="J44:J50" si="31">IF(H$12=0,0,H44/H$12)</f>
        <v>0</v>
      </c>
      <c r="K44" s="1"/>
      <c r="L44" s="1">
        <f t="shared" ref="L44:L50" si="32">+D44-H44</f>
        <v>0</v>
      </c>
      <c r="M44" s="1"/>
      <c r="N44" s="5">
        <f t="shared" ref="N44:N50" si="33">IF(H44=0,0,L44/H44)</f>
        <v>0</v>
      </c>
      <c r="O44" s="14"/>
      <c r="P44" s="1">
        <f>SUM(OSRRefP22_2x_0)</f>
        <v>253.82</v>
      </c>
      <c r="Q44" s="1"/>
      <c r="R44" s="5">
        <f t="shared" ref="R44:R50" si="34">IF(P$12=0,0,P44/P$12)</f>
        <v>0</v>
      </c>
      <c r="S44" s="1"/>
      <c r="T44" s="1">
        <f>SUM(OSRRefT22_2x_0)</f>
        <v>0</v>
      </c>
      <c r="U44" s="1"/>
      <c r="V44" s="5">
        <f t="shared" ref="V44:V50" si="35">IF(T$12=0,0,T44/T$12)</f>
        <v>0</v>
      </c>
      <c r="W44" s="1"/>
      <c r="X44" s="1">
        <f t="shared" ref="X44:X50" si="36">+P44-T44</f>
        <v>253.82</v>
      </c>
      <c r="Y44" s="1"/>
      <c r="Z44" s="5">
        <f t="shared" ref="Z44:Z50" si="37">IF(T44=0,0,X44/T44)</f>
        <v>0</v>
      </c>
    </row>
    <row r="45" spans="1:26" s="24" customFormat="1" hidden="1" outlineLevel="2" x14ac:dyDescent="0.25">
      <c r="A45" s="27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30"/>
        <v>0</v>
      </c>
      <c r="G45" s="2"/>
      <c r="H45" s="7"/>
      <c r="I45" s="2"/>
      <c r="J45" s="6">
        <f t="shared" si="31"/>
        <v>0</v>
      </c>
      <c r="K45" s="2"/>
      <c r="L45" s="7">
        <f t="shared" si="32"/>
        <v>0</v>
      </c>
      <c r="M45" s="2"/>
      <c r="N45" s="6">
        <f t="shared" si="33"/>
        <v>0</v>
      </c>
      <c r="O45" s="11"/>
      <c r="P45" s="7">
        <v>253.82</v>
      </c>
      <c r="Q45" s="2"/>
      <c r="R45" s="6">
        <f t="shared" si="34"/>
        <v>0</v>
      </c>
      <c r="S45" s="2"/>
      <c r="T45" s="7"/>
      <c r="U45" s="2"/>
      <c r="V45" s="6">
        <f t="shared" si="35"/>
        <v>0</v>
      </c>
      <c r="W45" s="2"/>
      <c r="X45" s="7">
        <f t="shared" si="36"/>
        <v>253.82</v>
      </c>
      <c r="Y45" s="2"/>
      <c r="Z45" s="6">
        <f t="shared" si="37"/>
        <v>0</v>
      </c>
    </row>
    <row r="46" spans="1:26" s="28" customFormat="1" outlineLevel="1" collapsed="1" x14ac:dyDescent="0.25">
      <c r="A46" s="29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2768</v>
      </c>
      <c r="I46" s="1"/>
      <c r="J46" s="5">
        <f t="shared" si="31"/>
        <v>3.997573726928743E-2</v>
      </c>
      <c r="K46" s="1"/>
      <c r="L46" s="1">
        <f t="shared" si="32"/>
        <v>-2768</v>
      </c>
      <c r="M46" s="1"/>
      <c r="N46" s="5">
        <f t="shared" si="33"/>
        <v>-1</v>
      </c>
      <c r="O46" s="14"/>
      <c r="P46" s="1">
        <f>SUM(OSRRefP22_3x_0)</f>
        <v>0.37</v>
      </c>
      <c r="Q46" s="1"/>
      <c r="R46" s="5">
        <f t="shared" si="34"/>
        <v>0</v>
      </c>
      <c r="S46" s="1"/>
      <c r="T46" s="1">
        <f>SUM(OSRRefT22_3x_0)</f>
        <v>6020</v>
      </c>
      <c r="U46" s="1"/>
      <c r="V46" s="5">
        <f t="shared" si="35"/>
        <v>3.9970785472412187E-2</v>
      </c>
      <c r="W46" s="1"/>
      <c r="X46" s="1">
        <f t="shared" si="36"/>
        <v>-6019.63</v>
      </c>
      <c r="Y46" s="1"/>
      <c r="Z46" s="5">
        <f t="shared" si="37"/>
        <v>-0.99993853820598011</v>
      </c>
    </row>
    <row r="47" spans="1:26" s="24" customFormat="1" hidden="1" outlineLevel="2" x14ac:dyDescent="0.25">
      <c r="A47" s="27"/>
      <c r="B47" s="11" t="str">
        <f>CONCATENATE("          ", "6381", " - ", "BANK/CREDIT CARD FEES")</f>
        <v xml:space="preserve">          6381 - BANK/CREDIT CARD FEES</v>
      </c>
      <c r="C47" s="11"/>
      <c r="D47" s="7"/>
      <c r="E47" s="2"/>
      <c r="F47" s="6">
        <f t="shared" si="30"/>
        <v>0</v>
      </c>
      <c r="G47" s="2"/>
      <c r="H47" s="7">
        <v>2768</v>
      </c>
      <c r="I47" s="2"/>
      <c r="J47" s="6">
        <f t="shared" si="31"/>
        <v>3.997573726928743E-2</v>
      </c>
      <c r="K47" s="2"/>
      <c r="L47" s="7">
        <f t="shared" si="32"/>
        <v>-2768</v>
      </c>
      <c r="M47" s="2"/>
      <c r="N47" s="6">
        <f t="shared" si="33"/>
        <v>-1</v>
      </c>
      <c r="O47" s="11"/>
      <c r="P47" s="7">
        <v>0.37</v>
      </c>
      <c r="Q47" s="2"/>
      <c r="R47" s="6">
        <f t="shared" si="34"/>
        <v>0</v>
      </c>
      <c r="S47" s="2"/>
      <c r="T47" s="7">
        <v>6020</v>
      </c>
      <c r="U47" s="2"/>
      <c r="V47" s="6">
        <f t="shared" si="35"/>
        <v>3.9970785472412187E-2</v>
      </c>
      <c r="W47" s="2"/>
      <c r="X47" s="7">
        <f t="shared" si="36"/>
        <v>-6019.63</v>
      </c>
      <c r="Y47" s="2"/>
      <c r="Z47" s="6">
        <f t="shared" si="37"/>
        <v>-0.99993853820598011</v>
      </c>
    </row>
    <row r="48" spans="1:26" s="28" customFormat="1" outlineLevel="1" collapsed="1" x14ac:dyDescent="0.25">
      <c r="A48" s="29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SUM(OSRRefD22_4x_0)</f>
        <v>6701.08</v>
      </c>
      <c r="E48" s="1"/>
      <c r="F48" s="5">
        <f t="shared" si="30"/>
        <v>0</v>
      </c>
      <c r="G48" s="1"/>
      <c r="H48" s="1">
        <f>SUM(OSRRefH22_4x_0)</f>
        <v>6701</v>
      </c>
      <c r="I48" s="1"/>
      <c r="J48" s="5">
        <f t="shared" si="31"/>
        <v>9.6776522919615263E-2</v>
      </c>
      <c r="K48" s="1"/>
      <c r="L48" s="1">
        <f t="shared" si="32"/>
        <v>7.999999999992724E-2</v>
      </c>
      <c r="M48" s="1"/>
      <c r="N48" s="5">
        <f t="shared" si="33"/>
        <v>1.1938516639296707E-5</v>
      </c>
      <c r="O48" s="14"/>
      <c r="P48" s="1">
        <f>SUM(OSRRefP22_4x_0)</f>
        <v>26892.46</v>
      </c>
      <c r="Q48" s="1"/>
      <c r="R48" s="5">
        <f t="shared" si="34"/>
        <v>0</v>
      </c>
      <c r="S48" s="1"/>
      <c r="T48" s="1">
        <f>SUM(OSRRefT22_4x_0)</f>
        <v>26892</v>
      </c>
      <c r="U48" s="1"/>
      <c r="V48" s="5">
        <f t="shared" si="35"/>
        <v>0.17855388088440344</v>
      </c>
      <c r="W48" s="1"/>
      <c r="X48" s="1">
        <f t="shared" si="36"/>
        <v>0.45999999999912689</v>
      </c>
      <c r="Y48" s="1"/>
      <c r="Z48" s="5">
        <f t="shared" si="37"/>
        <v>1.7105458872494679E-5</v>
      </c>
    </row>
    <row r="49" spans="1:26" s="24" customFormat="1" hidden="1" outlineLevel="2" x14ac:dyDescent="0.25">
      <c r="A49" s="27"/>
      <c r="B49" s="11" t="str">
        <f>CONCATENATE("          ", "6321", " - ", "BUILDING DEPRECIATION")</f>
        <v xml:space="preserve">          6321 - BUILDING DEPRECIATION</v>
      </c>
      <c r="C49" s="11"/>
      <c r="D49" s="7">
        <v>6492.96</v>
      </c>
      <c r="E49" s="2"/>
      <c r="F49" s="6">
        <f t="shared" si="30"/>
        <v>0</v>
      </c>
      <c r="G49" s="2"/>
      <c r="H49" s="7"/>
      <c r="I49" s="2"/>
      <c r="J49" s="6">
        <f t="shared" si="31"/>
        <v>0</v>
      </c>
      <c r="K49" s="2"/>
      <c r="L49" s="7">
        <f t="shared" si="32"/>
        <v>6492.96</v>
      </c>
      <c r="M49" s="2"/>
      <c r="N49" s="6">
        <f t="shared" si="33"/>
        <v>0</v>
      </c>
      <c r="O49" s="11"/>
      <c r="P49" s="7">
        <v>26059.98</v>
      </c>
      <c r="Q49" s="2"/>
      <c r="R49" s="6">
        <f t="shared" si="34"/>
        <v>0</v>
      </c>
      <c r="S49" s="2"/>
      <c r="T49" s="7"/>
      <c r="U49" s="2"/>
      <c r="V49" s="6">
        <f t="shared" si="35"/>
        <v>0</v>
      </c>
      <c r="W49" s="2"/>
      <c r="X49" s="7">
        <f t="shared" si="36"/>
        <v>26059.98</v>
      </c>
      <c r="Y49" s="2"/>
      <c r="Z49" s="6">
        <f t="shared" si="37"/>
        <v>0</v>
      </c>
    </row>
    <row r="50" spans="1:26" s="24" customFormat="1" hidden="1" outlineLevel="2" x14ac:dyDescent="0.25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208.12</v>
      </c>
      <c r="E50" s="2"/>
      <c r="F50" s="6">
        <f t="shared" si="30"/>
        <v>0</v>
      </c>
      <c r="G50" s="2"/>
      <c r="H50" s="7">
        <v>6701</v>
      </c>
      <c r="I50" s="2"/>
      <c r="J50" s="6">
        <f t="shared" si="31"/>
        <v>9.6776522919615263E-2</v>
      </c>
      <c r="K50" s="2"/>
      <c r="L50" s="7">
        <f t="shared" si="32"/>
        <v>-6492.88</v>
      </c>
      <c r="M50" s="2"/>
      <c r="N50" s="6">
        <f t="shared" si="33"/>
        <v>-0.96894194896284136</v>
      </c>
      <c r="O50" s="11"/>
      <c r="P50" s="7">
        <v>832.48</v>
      </c>
      <c r="Q50" s="2"/>
      <c r="R50" s="6">
        <f t="shared" si="34"/>
        <v>0</v>
      </c>
      <c r="S50" s="2"/>
      <c r="T50" s="7">
        <v>26892</v>
      </c>
      <c r="U50" s="2"/>
      <c r="V50" s="6">
        <f t="shared" si="35"/>
        <v>0.17855388088440344</v>
      </c>
      <c r="W50" s="2"/>
      <c r="X50" s="7">
        <f t="shared" si="36"/>
        <v>-26059.52</v>
      </c>
      <c r="Y50" s="2"/>
      <c r="Z50" s="6">
        <f t="shared" si="37"/>
        <v>-0.96904358173434479</v>
      </c>
    </row>
    <row r="51" spans="1:26" s="28" customFormat="1" outlineLevel="1" collapsed="1" x14ac:dyDescent="0.25">
      <c r="A51" s="29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SUM(OSRRefD22_5x_0)</f>
        <v>49.95</v>
      </c>
      <c r="E51" s="1"/>
      <c r="F51" s="5">
        <f t="shared" ref="F51:F59" si="38">IF(D$12=0,0,D51/D$12)</f>
        <v>0</v>
      </c>
      <c r="G51" s="1"/>
      <c r="H51" s="1">
        <f>SUM(OSRRefH22_5x_0)</f>
        <v>20</v>
      </c>
      <c r="I51" s="1"/>
      <c r="J51" s="5">
        <f t="shared" ref="J51:J59" si="39">IF(H$12=0,0,H51/H$12)</f>
        <v>2.8884203229253923E-4</v>
      </c>
      <c r="K51" s="1"/>
      <c r="L51" s="1">
        <f t="shared" ref="L51:L59" si="40">+D51-H51</f>
        <v>29.950000000000003</v>
      </c>
      <c r="M51" s="1"/>
      <c r="N51" s="5">
        <f t="shared" ref="N51:N59" si="41">IF(H51=0,0,L51/H51)</f>
        <v>1.4975000000000001</v>
      </c>
      <c r="O51" s="14"/>
      <c r="P51" s="1">
        <f>SUM(OSRRefP22_5x_0)</f>
        <v>49.95</v>
      </c>
      <c r="Q51" s="1"/>
      <c r="R51" s="5">
        <f t="shared" ref="R51:R59" si="42">IF(P$12=0,0,P51/P$12)</f>
        <v>0</v>
      </c>
      <c r="S51" s="1"/>
      <c r="T51" s="1">
        <f>SUM(OSRRefT22_5x_0)</f>
        <v>40</v>
      </c>
      <c r="U51" s="1"/>
      <c r="V51" s="5">
        <f t="shared" ref="V51:V59" si="43">IF(T$12=0,0,T51/T$12)</f>
        <v>2.6558661443463251E-4</v>
      </c>
      <c r="W51" s="1"/>
      <c r="X51" s="1">
        <f t="shared" ref="X51:X59" si="44">+P51-T51</f>
        <v>9.9500000000000028</v>
      </c>
      <c r="Y51" s="1"/>
      <c r="Z51" s="5">
        <f t="shared" ref="Z51:Z59" si="45">IF(T51=0,0,X51/T51)</f>
        <v>0.24875000000000008</v>
      </c>
    </row>
    <row r="52" spans="1:26" s="24" customFormat="1" hidden="1" outlineLevel="2" x14ac:dyDescent="0.25">
      <c r="A52" s="27"/>
      <c r="B52" s="11" t="str">
        <f>CONCATENATE("          ", "6277", " - ", "EMPLOYEE APPRECIATION")</f>
        <v xml:space="preserve">          6277 - EMPLOYEE APPRECIATION</v>
      </c>
      <c r="C52" s="11"/>
      <c r="D52" s="7">
        <v>49.95</v>
      </c>
      <c r="E52" s="2"/>
      <c r="F52" s="6">
        <f t="shared" si="38"/>
        <v>0</v>
      </c>
      <c r="G52" s="2"/>
      <c r="H52" s="7">
        <v>20</v>
      </c>
      <c r="I52" s="2"/>
      <c r="J52" s="6">
        <f t="shared" si="39"/>
        <v>2.8884203229253923E-4</v>
      </c>
      <c r="K52" s="2"/>
      <c r="L52" s="7">
        <f t="shared" si="40"/>
        <v>29.950000000000003</v>
      </c>
      <c r="M52" s="2"/>
      <c r="N52" s="6">
        <f t="shared" si="41"/>
        <v>1.4975000000000001</v>
      </c>
      <c r="O52" s="11"/>
      <c r="P52" s="7">
        <v>49.95</v>
      </c>
      <c r="Q52" s="2"/>
      <c r="R52" s="6">
        <f t="shared" si="42"/>
        <v>0</v>
      </c>
      <c r="S52" s="2"/>
      <c r="T52" s="7">
        <v>40</v>
      </c>
      <c r="U52" s="2"/>
      <c r="V52" s="6">
        <f t="shared" si="43"/>
        <v>2.6558661443463251E-4</v>
      </c>
      <c r="W52" s="2"/>
      <c r="X52" s="7">
        <f t="shared" si="44"/>
        <v>9.9500000000000028</v>
      </c>
      <c r="Y52" s="2"/>
      <c r="Z52" s="6">
        <f t="shared" si="45"/>
        <v>0.24875000000000008</v>
      </c>
    </row>
    <row r="53" spans="1:26" s="28" customFormat="1" outlineLevel="1" collapsed="1" x14ac:dyDescent="0.25">
      <c r="A53" s="29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SUM(OSRRefD22_6x_0)</f>
        <v>665.72</v>
      </c>
      <c r="E53" s="1"/>
      <c r="F53" s="5">
        <f t="shared" si="38"/>
        <v>0</v>
      </c>
      <c r="G53" s="1"/>
      <c r="H53" s="1">
        <f>SUM(OSRRefH22_6x_0)</f>
        <v>200</v>
      </c>
      <c r="I53" s="1"/>
      <c r="J53" s="5">
        <f t="shared" si="39"/>
        <v>2.8884203229253922E-3</v>
      </c>
      <c r="K53" s="1"/>
      <c r="L53" s="1">
        <f t="shared" si="40"/>
        <v>465.72</v>
      </c>
      <c r="M53" s="1"/>
      <c r="N53" s="5">
        <f t="shared" si="41"/>
        <v>2.3286000000000002</v>
      </c>
      <c r="O53" s="14"/>
      <c r="P53" s="1">
        <f>SUM(OSRRefP22_6x_0)</f>
        <v>1700.58</v>
      </c>
      <c r="Q53" s="1"/>
      <c r="R53" s="5">
        <f t="shared" si="42"/>
        <v>0</v>
      </c>
      <c r="S53" s="1"/>
      <c r="T53" s="1">
        <f>SUM(OSRRefT22_6x_0)</f>
        <v>800</v>
      </c>
      <c r="U53" s="1"/>
      <c r="V53" s="5">
        <f t="shared" si="43"/>
        <v>5.3117322886926501E-3</v>
      </c>
      <c r="W53" s="1"/>
      <c r="X53" s="1">
        <f t="shared" si="44"/>
        <v>900.57999999999993</v>
      </c>
      <c r="Y53" s="1"/>
      <c r="Z53" s="5">
        <f t="shared" si="45"/>
        <v>1.1257249999999999</v>
      </c>
    </row>
    <row r="54" spans="1:26" s="24" customFormat="1" hidden="1" outlineLevel="2" x14ac:dyDescent="0.25">
      <c r="A54" s="27"/>
      <c r="B54" s="11" t="str">
        <f>CONCATENATE("          ", "6351", " - ", "EQUIPMENT RENTAL")</f>
        <v xml:space="preserve">          6351 - EQUIPMENT RENTAL</v>
      </c>
      <c r="C54" s="11"/>
      <c r="D54" s="7">
        <v>665.72</v>
      </c>
      <c r="E54" s="2"/>
      <c r="F54" s="6">
        <f t="shared" si="38"/>
        <v>0</v>
      </c>
      <c r="G54" s="2"/>
      <c r="H54" s="7">
        <v>200</v>
      </c>
      <c r="I54" s="2"/>
      <c r="J54" s="6">
        <f t="shared" si="39"/>
        <v>2.8884203229253922E-3</v>
      </c>
      <c r="K54" s="2"/>
      <c r="L54" s="7">
        <f t="shared" si="40"/>
        <v>465.72</v>
      </c>
      <c r="M54" s="2"/>
      <c r="N54" s="6">
        <f t="shared" si="41"/>
        <v>2.3286000000000002</v>
      </c>
      <c r="O54" s="11"/>
      <c r="P54" s="7">
        <v>1700.58</v>
      </c>
      <c r="Q54" s="2"/>
      <c r="R54" s="6">
        <f t="shared" si="42"/>
        <v>0</v>
      </c>
      <c r="S54" s="2"/>
      <c r="T54" s="7">
        <v>800</v>
      </c>
      <c r="U54" s="2"/>
      <c r="V54" s="6">
        <f t="shared" si="43"/>
        <v>5.3117322886926501E-3</v>
      </c>
      <c r="W54" s="2"/>
      <c r="X54" s="7">
        <f t="shared" si="44"/>
        <v>900.57999999999993</v>
      </c>
      <c r="Y54" s="2"/>
      <c r="Z54" s="6">
        <f t="shared" si="45"/>
        <v>1.1257249999999999</v>
      </c>
    </row>
    <row r="55" spans="1:26" s="28" customFormat="1" outlineLevel="1" collapsed="1" x14ac:dyDescent="0.25">
      <c r="A55" s="29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SUM(OSRRefD22_7x_0)</f>
        <v>0</v>
      </c>
      <c r="E55" s="1"/>
      <c r="F55" s="5">
        <f t="shared" si="38"/>
        <v>0</v>
      </c>
      <c r="G55" s="1"/>
      <c r="H55" s="1">
        <f>SUM(OSRRefH22_7x_0)</f>
        <v>0</v>
      </c>
      <c r="I55" s="1"/>
      <c r="J55" s="5">
        <f t="shared" si="39"/>
        <v>0</v>
      </c>
      <c r="K55" s="1"/>
      <c r="L55" s="1">
        <f t="shared" si="40"/>
        <v>0</v>
      </c>
      <c r="M55" s="1"/>
      <c r="N55" s="5">
        <f t="shared" si="41"/>
        <v>0</v>
      </c>
      <c r="O55" s="14"/>
      <c r="P55" s="1">
        <f>SUM(OSRRefP22_7x_0)</f>
        <v>1314.55</v>
      </c>
      <c r="Q55" s="1"/>
      <c r="R55" s="5">
        <f t="shared" si="42"/>
        <v>0</v>
      </c>
      <c r="S55" s="1"/>
      <c r="T55" s="1">
        <f>SUM(OSRRefT22_7x_0)</f>
        <v>1400</v>
      </c>
      <c r="U55" s="1"/>
      <c r="V55" s="5">
        <f t="shared" si="43"/>
        <v>9.295531505212137E-3</v>
      </c>
      <c r="W55" s="1"/>
      <c r="X55" s="1">
        <f t="shared" si="44"/>
        <v>-85.450000000000045</v>
      </c>
      <c r="Y55" s="1"/>
      <c r="Z55" s="5">
        <f t="shared" si="45"/>
        <v>-6.1035714285714318E-2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38"/>
        <v>0</v>
      </c>
      <c r="G56" s="2"/>
      <c r="H56" s="7"/>
      <c r="I56" s="2"/>
      <c r="J56" s="6">
        <f t="shared" si="39"/>
        <v>0</v>
      </c>
      <c r="K56" s="2"/>
      <c r="L56" s="7">
        <f t="shared" si="40"/>
        <v>0</v>
      </c>
      <c r="M56" s="2"/>
      <c r="N56" s="6">
        <f t="shared" si="41"/>
        <v>0</v>
      </c>
      <c r="O56" s="11"/>
      <c r="P56" s="7">
        <v>1314.55</v>
      </c>
      <c r="Q56" s="2"/>
      <c r="R56" s="6">
        <f t="shared" si="42"/>
        <v>0</v>
      </c>
      <c r="S56" s="2"/>
      <c r="T56" s="7">
        <v>1400</v>
      </c>
      <c r="U56" s="2"/>
      <c r="V56" s="6">
        <f t="shared" si="43"/>
        <v>9.295531505212137E-3</v>
      </c>
      <c r="W56" s="2"/>
      <c r="X56" s="7">
        <f t="shared" si="44"/>
        <v>-85.450000000000045</v>
      </c>
      <c r="Y56" s="2"/>
      <c r="Z56" s="6">
        <f t="shared" si="45"/>
        <v>-6.1035714285714318E-2</v>
      </c>
    </row>
    <row r="57" spans="1:26" s="28" customFormat="1" outlineLevel="1" collapsed="1" x14ac:dyDescent="0.25">
      <c r="A57" s="29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SUM(OSRRefD22_8x_0)</f>
        <v>2110.12</v>
      </c>
      <c r="E57" s="1"/>
      <c r="F57" s="5">
        <f t="shared" si="38"/>
        <v>0</v>
      </c>
      <c r="G57" s="1"/>
      <c r="H57" s="1">
        <f>SUM(OSRRefH22_8x_0)</f>
        <v>1885</v>
      </c>
      <c r="I57" s="1"/>
      <c r="J57" s="5">
        <f t="shared" si="39"/>
        <v>2.7223361543571821E-2</v>
      </c>
      <c r="K57" s="1"/>
      <c r="L57" s="1">
        <f t="shared" si="40"/>
        <v>225.11999999999989</v>
      </c>
      <c r="M57" s="1"/>
      <c r="N57" s="5">
        <f t="shared" si="41"/>
        <v>0.11942705570291771</v>
      </c>
      <c r="O57" s="14"/>
      <c r="P57" s="1">
        <f>SUM(OSRRefP22_8x_0)</f>
        <v>4435.04</v>
      </c>
      <c r="Q57" s="1"/>
      <c r="R57" s="5">
        <f t="shared" si="42"/>
        <v>0</v>
      </c>
      <c r="S57" s="1"/>
      <c r="T57" s="1">
        <f>SUM(OSRRefT22_8x_0)</f>
        <v>13963</v>
      </c>
      <c r="U57" s="1"/>
      <c r="V57" s="5">
        <f t="shared" si="43"/>
        <v>9.2709647433769332E-2</v>
      </c>
      <c r="W57" s="1"/>
      <c r="X57" s="1">
        <f t="shared" si="44"/>
        <v>-9527.9599999999991</v>
      </c>
      <c r="Y57" s="1"/>
      <c r="Z57" s="5">
        <f t="shared" si="45"/>
        <v>-0.68237198309818803</v>
      </c>
    </row>
    <row r="58" spans="1:26" s="24" customFormat="1" hidden="1" outlineLevel="2" x14ac:dyDescent="0.25">
      <c r="A58" s="27"/>
      <c r="B58" s="11" t="str">
        <f>CONCATENATE("          ", "6373", " - ", "MAINTENANCE CONTRACTS")</f>
        <v xml:space="preserve">          6373 - MAINTENANCE CONTRACTS</v>
      </c>
      <c r="C58" s="11"/>
      <c r="D58" s="7">
        <v>1204.21</v>
      </c>
      <c r="E58" s="2"/>
      <c r="F58" s="6">
        <f t="shared" si="38"/>
        <v>0</v>
      </c>
      <c r="G58" s="2"/>
      <c r="H58" s="7">
        <v>500</v>
      </c>
      <c r="I58" s="2"/>
      <c r="J58" s="6">
        <f t="shared" si="39"/>
        <v>7.2210508073134805E-3</v>
      </c>
      <c r="K58" s="2"/>
      <c r="L58" s="7">
        <f t="shared" si="40"/>
        <v>704.21</v>
      </c>
      <c r="M58" s="2"/>
      <c r="N58" s="6">
        <f t="shared" si="41"/>
        <v>1.40842</v>
      </c>
      <c r="O58" s="11"/>
      <c r="P58" s="7">
        <v>1402.67</v>
      </c>
      <c r="Q58" s="2"/>
      <c r="R58" s="6">
        <f t="shared" si="42"/>
        <v>0</v>
      </c>
      <c r="S58" s="2"/>
      <c r="T58" s="7">
        <v>1000</v>
      </c>
      <c r="U58" s="2"/>
      <c r="V58" s="6">
        <f t="shared" si="43"/>
        <v>6.6396653608658124E-3</v>
      </c>
      <c r="W58" s="2"/>
      <c r="X58" s="7">
        <f t="shared" si="44"/>
        <v>402.67000000000007</v>
      </c>
      <c r="Y58" s="2"/>
      <c r="Z58" s="6">
        <f t="shared" si="45"/>
        <v>0.40267000000000008</v>
      </c>
    </row>
    <row r="59" spans="1:26" s="24" customFormat="1" hidden="1" outlineLevel="2" x14ac:dyDescent="0.25">
      <c r="A59" s="27"/>
      <c r="B59" s="11" t="str">
        <f>CONCATENATE("          ", "6375", " - ", "OUTSIDE REPAIRS &amp; MAINTENANCE")</f>
        <v xml:space="preserve">          6375 - OUTSIDE REPAIRS &amp; MAINTENANCE</v>
      </c>
      <c r="C59" s="11"/>
      <c r="D59" s="7">
        <v>905.91</v>
      </c>
      <c r="E59" s="2"/>
      <c r="F59" s="6">
        <f t="shared" si="38"/>
        <v>0</v>
      </c>
      <c r="G59" s="2"/>
      <c r="H59" s="7">
        <v>1385</v>
      </c>
      <c r="I59" s="2"/>
      <c r="J59" s="6">
        <f t="shared" si="39"/>
        <v>2.0002310736258341E-2</v>
      </c>
      <c r="K59" s="2"/>
      <c r="L59" s="7">
        <f t="shared" si="40"/>
        <v>-479.09000000000003</v>
      </c>
      <c r="M59" s="2"/>
      <c r="N59" s="6">
        <f t="shared" si="41"/>
        <v>-0.34591335740072204</v>
      </c>
      <c r="O59" s="11"/>
      <c r="P59" s="7">
        <v>3032.37</v>
      </c>
      <c r="Q59" s="2"/>
      <c r="R59" s="6">
        <f t="shared" si="42"/>
        <v>0</v>
      </c>
      <c r="S59" s="2"/>
      <c r="T59" s="7">
        <v>12963</v>
      </c>
      <c r="U59" s="2"/>
      <c r="V59" s="6">
        <f t="shared" si="43"/>
        <v>8.606998207290352E-2</v>
      </c>
      <c r="W59" s="2"/>
      <c r="X59" s="7">
        <f t="shared" si="44"/>
        <v>-9930.630000000001</v>
      </c>
      <c r="Y59" s="2"/>
      <c r="Z59" s="6">
        <f t="shared" si="45"/>
        <v>-0.76607498264290685</v>
      </c>
    </row>
    <row r="60" spans="1:26" s="28" customFormat="1" outlineLevel="1" collapsed="1" x14ac:dyDescent="0.25">
      <c r="A60" s="29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SUM(OSRRefD22_9x_0)</f>
        <v>0</v>
      </c>
      <c r="E60" s="1"/>
      <c r="F60" s="5">
        <f t="shared" ref="F60:F64" si="46">IF(D$12=0,0,D60/D$12)</f>
        <v>0</v>
      </c>
      <c r="G60" s="1"/>
      <c r="H60" s="1">
        <f>SUM(OSRRefH22_9x_0)</f>
        <v>3225</v>
      </c>
      <c r="I60" s="1"/>
      <c r="J60" s="5">
        <f t="shared" ref="J60:J64" si="47">IF(H$12=0,0,H60/H$12)</f>
        <v>4.6575777707171945E-2</v>
      </c>
      <c r="K60" s="1"/>
      <c r="L60" s="1">
        <f t="shared" ref="L60:L64" si="48">+D60-H60</f>
        <v>-3225</v>
      </c>
      <c r="M60" s="1"/>
      <c r="N60" s="5">
        <f t="shared" ref="N60:N64" si="49">IF(H60=0,0,L60/H60)</f>
        <v>-1</v>
      </c>
      <c r="O60" s="14"/>
      <c r="P60" s="1">
        <f>SUM(OSRRefP22_9x_0)</f>
        <v>260</v>
      </c>
      <c r="Q60" s="1"/>
      <c r="R60" s="5">
        <f t="shared" ref="R60:R64" si="50">IF(P$12=0,0,P60/P$12)</f>
        <v>0</v>
      </c>
      <c r="S60" s="1"/>
      <c r="T60" s="1">
        <f>SUM(OSRRefT22_9x_0)</f>
        <v>9975</v>
      </c>
      <c r="U60" s="1"/>
      <c r="V60" s="5">
        <f t="shared" ref="V60:V64" si="51">IF(T$12=0,0,T60/T$12)</f>
        <v>6.6230661974636479E-2</v>
      </c>
      <c r="W60" s="1"/>
      <c r="X60" s="1">
        <f t="shared" ref="X60:X64" si="52">+P60-T60</f>
        <v>-9715</v>
      </c>
      <c r="Y60" s="1"/>
      <c r="Z60" s="5">
        <f t="shared" ref="Z60:Z64" si="53">IF(T60=0,0,X60/T60)</f>
        <v>-0.97393483709273188</v>
      </c>
    </row>
    <row r="61" spans="1:26" s="24" customFormat="1" hidden="1" outlineLevel="2" x14ac:dyDescent="0.25">
      <c r="A61" s="27"/>
      <c r="B61" s="11" t="str">
        <f>CONCATENATE("          ", "6283", " - ", "PLANT SERVICE")</f>
        <v xml:space="preserve">          6283 - PLANT SERVICE</v>
      </c>
      <c r="C61" s="11"/>
      <c r="D61" s="7"/>
      <c r="E61" s="2"/>
      <c r="F61" s="6">
        <f t="shared" si="46"/>
        <v>0</v>
      </c>
      <c r="G61" s="2"/>
      <c r="H61" s="7">
        <v>100</v>
      </c>
      <c r="I61" s="2"/>
      <c r="J61" s="6">
        <f t="shared" si="47"/>
        <v>1.4442101614626961E-3</v>
      </c>
      <c r="K61" s="2"/>
      <c r="L61" s="7">
        <f t="shared" si="48"/>
        <v>-100</v>
      </c>
      <c r="M61" s="2"/>
      <c r="N61" s="6">
        <f t="shared" si="49"/>
        <v>-1</v>
      </c>
      <c r="O61" s="11"/>
      <c r="P61" s="7"/>
      <c r="Q61" s="2"/>
      <c r="R61" s="6">
        <f t="shared" si="50"/>
        <v>0</v>
      </c>
      <c r="S61" s="2"/>
      <c r="T61" s="7">
        <v>400</v>
      </c>
      <c r="U61" s="2"/>
      <c r="V61" s="6">
        <f t="shared" si="51"/>
        <v>2.655866144346325E-3</v>
      </c>
      <c r="W61" s="2"/>
      <c r="X61" s="7">
        <f t="shared" si="52"/>
        <v>-400</v>
      </c>
      <c r="Y61" s="2"/>
      <c r="Z61" s="6">
        <f t="shared" si="53"/>
        <v>-1</v>
      </c>
    </row>
    <row r="62" spans="1:26" s="24" customFormat="1" hidden="1" outlineLevel="2" x14ac:dyDescent="0.25">
      <c r="A62" s="27"/>
      <c r="B62" s="11" t="str">
        <f>CONCATENATE("          ", "6284", " - ", "TRASH REMOVAL EXPENSE")</f>
        <v xml:space="preserve">          6284 - TRASH REMOVAL EXPENSE</v>
      </c>
      <c r="C62" s="11"/>
      <c r="D62" s="7"/>
      <c r="E62" s="2"/>
      <c r="F62" s="6">
        <f t="shared" si="46"/>
        <v>0</v>
      </c>
      <c r="G62" s="2"/>
      <c r="H62" s="7"/>
      <c r="I62" s="2"/>
      <c r="J62" s="6">
        <f t="shared" si="47"/>
        <v>0</v>
      </c>
      <c r="K62" s="2"/>
      <c r="L62" s="7">
        <f t="shared" si="48"/>
        <v>0</v>
      </c>
      <c r="M62" s="2"/>
      <c r="N62" s="6">
        <f t="shared" si="49"/>
        <v>0</v>
      </c>
      <c r="O62" s="11"/>
      <c r="P62" s="7"/>
      <c r="Q62" s="2"/>
      <c r="R62" s="6">
        <f t="shared" si="50"/>
        <v>0</v>
      </c>
      <c r="S62" s="2"/>
      <c r="T62" s="7">
        <v>0</v>
      </c>
      <c r="U62" s="2"/>
      <c r="V62" s="6">
        <f t="shared" si="51"/>
        <v>0</v>
      </c>
      <c r="W62" s="2"/>
      <c r="X62" s="7">
        <f t="shared" si="52"/>
        <v>0</v>
      </c>
      <c r="Y62" s="2"/>
      <c r="Z62" s="6">
        <f t="shared" si="53"/>
        <v>0</v>
      </c>
    </row>
    <row r="63" spans="1:26" s="24" customFormat="1" hidden="1" outlineLevel="2" x14ac:dyDescent="0.25">
      <c r="A63" s="27"/>
      <c r="B63" s="11" t="str">
        <f>CONCATENATE("          ", "6285", " - ", "JANITORIAL SERVICES")</f>
        <v xml:space="preserve">          6285 - JANITORIAL SERVICES</v>
      </c>
      <c r="C63" s="11"/>
      <c r="D63" s="7"/>
      <c r="E63" s="2"/>
      <c r="F63" s="6">
        <f t="shared" si="46"/>
        <v>0</v>
      </c>
      <c r="G63" s="2"/>
      <c r="H63" s="7">
        <v>3100</v>
      </c>
      <c r="I63" s="2"/>
      <c r="J63" s="6">
        <f t="shared" si="47"/>
        <v>4.4770515005343577E-2</v>
      </c>
      <c r="K63" s="2"/>
      <c r="L63" s="7">
        <f t="shared" si="48"/>
        <v>-3100</v>
      </c>
      <c r="M63" s="2"/>
      <c r="N63" s="6">
        <f t="shared" si="49"/>
        <v>-1</v>
      </c>
      <c r="O63" s="11"/>
      <c r="P63" s="7">
        <v>260</v>
      </c>
      <c r="Q63" s="2"/>
      <c r="R63" s="6">
        <f t="shared" si="50"/>
        <v>0</v>
      </c>
      <c r="S63" s="2"/>
      <c r="T63" s="7">
        <v>9300</v>
      </c>
      <c r="U63" s="2"/>
      <c r="V63" s="6">
        <f t="shared" si="51"/>
        <v>6.1748887856052058E-2</v>
      </c>
      <c r="W63" s="2"/>
      <c r="X63" s="7">
        <f t="shared" si="52"/>
        <v>-9040</v>
      </c>
      <c r="Y63" s="2"/>
      <c r="Z63" s="6">
        <f t="shared" si="53"/>
        <v>-0.97204301075268817</v>
      </c>
    </row>
    <row r="64" spans="1:26" s="24" customFormat="1" hidden="1" outlineLevel="2" x14ac:dyDescent="0.25">
      <c r="A64" s="27"/>
      <c r="B64" s="11" t="str">
        <f>CONCATENATE("          ", "6286", " - ", "LAUNDRY EXPENSE")</f>
        <v xml:space="preserve">          6286 - LAUNDRY EXPENSE</v>
      </c>
      <c r="C64" s="11"/>
      <c r="D64" s="7"/>
      <c r="E64" s="2"/>
      <c r="F64" s="6">
        <f t="shared" si="46"/>
        <v>0</v>
      </c>
      <c r="G64" s="2"/>
      <c r="H64" s="7">
        <v>25</v>
      </c>
      <c r="I64" s="2"/>
      <c r="J64" s="6">
        <f t="shared" si="47"/>
        <v>3.6105254036567403E-4</v>
      </c>
      <c r="K64" s="2"/>
      <c r="L64" s="7">
        <f t="shared" si="48"/>
        <v>-25</v>
      </c>
      <c r="M64" s="2"/>
      <c r="N64" s="6">
        <f t="shared" si="49"/>
        <v>-1</v>
      </c>
      <c r="O64" s="11"/>
      <c r="P64" s="7"/>
      <c r="Q64" s="2"/>
      <c r="R64" s="6">
        <f t="shared" si="50"/>
        <v>0</v>
      </c>
      <c r="S64" s="2"/>
      <c r="T64" s="7">
        <v>275</v>
      </c>
      <c r="U64" s="2"/>
      <c r="V64" s="6">
        <f t="shared" si="51"/>
        <v>1.8259079742380985E-3</v>
      </c>
      <c r="W64" s="2"/>
      <c r="X64" s="7">
        <f t="shared" si="52"/>
        <v>-275</v>
      </c>
      <c r="Y64" s="2"/>
      <c r="Z64" s="6">
        <f t="shared" si="53"/>
        <v>-1</v>
      </c>
    </row>
    <row r="65" spans="1:26" s="28" customFormat="1" outlineLevel="1" collapsed="1" x14ac:dyDescent="0.25">
      <c r="A65" s="29"/>
      <c r="B65" s="14" t="str">
        <f>CONCATENATE("     ","Subscriptions &amp; Dues                              ")</f>
        <v xml:space="preserve">     Subscriptions &amp; Dues                              </v>
      </c>
      <c r="C65" s="14"/>
      <c r="D65" s="1">
        <f>SUM(OSRRefD22_10x_0)</f>
        <v>189.71</v>
      </c>
      <c r="E65" s="1"/>
      <c r="F65" s="5">
        <f t="shared" ref="F65:F75" si="54">IF(D$12=0,0,D65/D$12)</f>
        <v>0</v>
      </c>
      <c r="G65" s="1"/>
      <c r="H65" s="1">
        <f>SUM(OSRRefH22_10x_0)</f>
        <v>200</v>
      </c>
      <c r="I65" s="1"/>
      <c r="J65" s="5">
        <f t="shared" ref="J65:J75" si="55">IF(H$12=0,0,H65/H$12)</f>
        <v>2.8884203229253922E-3</v>
      </c>
      <c r="K65" s="1"/>
      <c r="L65" s="1">
        <f t="shared" ref="L65:L75" si="56">+D65-H65</f>
        <v>-10.289999999999992</v>
      </c>
      <c r="M65" s="1"/>
      <c r="N65" s="5">
        <f t="shared" ref="N65:N75" si="57">IF(H65=0,0,L65/H65)</f>
        <v>-5.1449999999999961E-2</v>
      </c>
      <c r="O65" s="14"/>
      <c r="P65" s="1">
        <f>SUM(OSRRefP22_10x_0)</f>
        <v>393.71</v>
      </c>
      <c r="Q65" s="1"/>
      <c r="R65" s="5">
        <f t="shared" ref="R65:R75" si="58">IF(P$12=0,0,P65/P$12)</f>
        <v>0</v>
      </c>
      <c r="S65" s="1"/>
      <c r="T65" s="1">
        <f>SUM(OSRRefT22_10x_0)</f>
        <v>600</v>
      </c>
      <c r="U65" s="1"/>
      <c r="V65" s="5">
        <f t="shared" ref="V65:V75" si="59">IF(T$12=0,0,T65/T$12)</f>
        <v>3.9837992165194878E-3</v>
      </c>
      <c r="W65" s="1"/>
      <c r="X65" s="1">
        <f t="shared" ref="X65:X75" si="60">+P65-T65</f>
        <v>-206.29000000000002</v>
      </c>
      <c r="Y65" s="1"/>
      <c r="Z65" s="5">
        <f t="shared" ref="Z65:Z75" si="61">IF(T65=0,0,X65/T65)</f>
        <v>-0.34381666666666671</v>
      </c>
    </row>
    <row r="66" spans="1:26" s="24" customFormat="1" hidden="1" outlineLevel="2" x14ac:dyDescent="0.25">
      <c r="A66" s="27"/>
      <c r="B66" s="11" t="str">
        <f>CONCATENATE("          ", "6275", " - ", "SUBSCRIPTIONS")</f>
        <v xml:space="preserve">          6275 - SUBSCRIPTIONS</v>
      </c>
      <c r="C66" s="11"/>
      <c r="D66" s="7">
        <v>189.71</v>
      </c>
      <c r="E66" s="2"/>
      <c r="F66" s="6">
        <f t="shared" si="54"/>
        <v>0</v>
      </c>
      <c r="G66" s="2"/>
      <c r="H66" s="7">
        <v>200</v>
      </c>
      <c r="I66" s="2"/>
      <c r="J66" s="6">
        <f t="shared" si="55"/>
        <v>2.8884203229253922E-3</v>
      </c>
      <c r="K66" s="2"/>
      <c r="L66" s="7">
        <f t="shared" si="56"/>
        <v>-10.289999999999992</v>
      </c>
      <c r="M66" s="2"/>
      <c r="N66" s="6">
        <f t="shared" si="57"/>
        <v>-5.1449999999999961E-2</v>
      </c>
      <c r="O66" s="11"/>
      <c r="P66" s="7">
        <v>393.71</v>
      </c>
      <c r="Q66" s="2"/>
      <c r="R66" s="6">
        <f t="shared" si="58"/>
        <v>0</v>
      </c>
      <c r="S66" s="2"/>
      <c r="T66" s="7">
        <v>600</v>
      </c>
      <c r="U66" s="2"/>
      <c r="V66" s="6">
        <f t="shared" si="59"/>
        <v>3.9837992165194878E-3</v>
      </c>
      <c r="W66" s="2"/>
      <c r="X66" s="7">
        <f t="shared" si="60"/>
        <v>-206.29000000000002</v>
      </c>
      <c r="Y66" s="2"/>
      <c r="Z66" s="6">
        <f t="shared" si="61"/>
        <v>-0.34381666666666671</v>
      </c>
    </row>
    <row r="67" spans="1:26" s="28" customFormat="1" outlineLevel="1" collapsed="1" x14ac:dyDescent="0.25">
      <c r="A67" s="29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SUM(OSRRefD22_11x_0)</f>
        <v>1257.74</v>
      </c>
      <c r="E67" s="1"/>
      <c r="F67" s="5">
        <f t="shared" si="54"/>
        <v>0</v>
      </c>
      <c r="G67" s="1"/>
      <c r="H67" s="1">
        <f>SUM(OSRRefH22_11x_0)</f>
        <v>500</v>
      </c>
      <c r="I67" s="1"/>
      <c r="J67" s="5">
        <f t="shared" si="55"/>
        <v>7.2210508073134805E-3</v>
      </c>
      <c r="K67" s="1"/>
      <c r="L67" s="1">
        <f t="shared" si="56"/>
        <v>757.74</v>
      </c>
      <c r="M67" s="1"/>
      <c r="N67" s="5">
        <f t="shared" si="57"/>
        <v>1.5154799999999999</v>
      </c>
      <c r="O67" s="14"/>
      <c r="P67" s="1">
        <f>SUM(OSRRefP22_11x_0)</f>
        <v>2201.2800000000002</v>
      </c>
      <c r="Q67" s="1"/>
      <c r="R67" s="5">
        <f t="shared" si="58"/>
        <v>0</v>
      </c>
      <c r="S67" s="1"/>
      <c r="T67" s="1">
        <f>SUM(OSRRefT22_11x_0)</f>
        <v>8350</v>
      </c>
      <c r="U67" s="1"/>
      <c r="V67" s="5">
        <f t="shared" si="59"/>
        <v>5.5441205763229535E-2</v>
      </c>
      <c r="W67" s="1"/>
      <c r="X67" s="1">
        <f t="shared" si="60"/>
        <v>-6148.7199999999993</v>
      </c>
      <c r="Y67" s="1"/>
      <c r="Z67" s="5">
        <f t="shared" si="61"/>
        <v>-0.73637365269461075</v>
      </c>
    </row>
    <row r="68" spans="1:26" s="24" customFormat="1" hidden="1" outlineLevel="2" x14ac:dyDescent="0.25">
      <c r="A68" s="27"/>
      <c r="B68" s="11" t="str">
        <f>CONCATENATE("          ", "6235", " - ", "COVID-19 EXPENSES")</f>
        <v xml:space="preserve">          6235 - COVID-19 EXPENSES</v>
      </c>
      <c r="C68" s="11"/>
      <c r="D68" s="7"/>
      <c r="E68" s="2"/>
      <c r="F68" s="6">
        <f t="shared" si="54"/>
        <v>0</v>
      </c>
      <c r="G68" s="2"/>
      <c r="H68" s="7">
        <v>175</v>
      </c>
      <c r="I68" s="2"/>
      <c r="J68" s="6">
        <f t="shared" si="55"/>
        <v>2.527367782559718E-3</v>
      </c>
      <c r="K68" s="2"/>
      <c r="L68" s="7">
        <f t="shared" si="56"/>
        <v>-175</v>
      </c>
      <c r="M68" s="2"/>
      <c r="N68" s="6">
        <f t="shared" si="57"/>
        <v>-1</v>
      </c>
      <c r="O68" s="11"/>
      <c r="P68" s="7"/>
      <c r="Q68" s="2"/>
      <c r="R68" s="6">
        <f t="shared" si="58"/>
        <v>0</v>
      </c>
      <c r="S68" s="2"/>
      <c r="T68" s="7">
        <v>775</v>
      </c>
      <c r="U68" s="2"/>
      <c r="V68" s="6">
        <f t="shared" si="59"/>
        <v>5.1457406546710042E-3</v>
      </c>
      <c r="W68" s="2"/>
      <c r="X68" s="7">
        <f t="shared" si="60"/>
        <v>-775</v>
      </c>
      <c r="Y68" s="2"/>
      <c r="Z68" s="6">
        <f t="shared" si="61"/>
        <v>-1</v>
      </c>
    </row>
    <row r="69" spans="1:26" s="24" customFormat="1" hidden="1" outlineLevel="2" x14ac:dyDescent="0.25">
      <c r="A69" s="27"/>
      <c r="B69" s="11" t="str">
        <f>CONCATENATE("          ", "6237", " - ", "JANITORIAL SUPPLIES")</f>
        <v xml:space="preserve">          6237 - JANITORIAL SUPPLIES</v>
      </c>
      <c r="C69" s="11"/>
      <c r="D69" s="7"/>
      <c r="E69" s="2"/>
      <c r="F69" s="6">
        <f t="shared" si="54"/>
        <v>0</v>
      </c>
      <c r="G69" s="2"/>
      <c r="H69" s="7">
        <v>75</v>
      </c>
      <c r="I69" s="2"/>
      <c r="J69" s="6">
        <f t="shared" si="55"/>
        <v>1.0831576210970221E-3</v>
      </c>
      <c r="K69" s="2"/>
      <c r="L69" s="7">
        <f t="shared" si="56"/>
        <v>-75</v>
      </c>
      <c r="M69" s="2"/>
      <c r="N69" s="6">
        <f t="shared" si="57"/>
        <v>-1</v>
      </c>
      <c r="O69" s="11"/>
      <c r="P69" s="7">
        <v>796.76</v>
      </c>
      <c r="Q69" s="2"/>
      <c r="R69" s="6">
        <f t="shared" si="58"/>
        <v>0</v>
      </c>
      <c r="S69" s="2"/>
      <c r="T69" s="7">
        <v>475</v>
      </c>
      <c r="U69" s="2"/>
      <c r="V69" s="6">
        <f t="shared" si="59"/>
        <v>3.1538410464112608E-3</v>
      </c>
      <c r="W69" s="2"/>
      <c r="X69" s="7">
        <f t="shared" si="60"/>
        <v>321.76</v>
      </c>
      <c r="Y69" s="2"/>
      <c r="Z69" s="6">
        <f t="shared" si="61"/>
        <v>0.67738947368421054</v>
      </c>
    </row>
    <row r="70" spans="1:26" s="24" customFormat="1" hidden="1" outlineLevel="2" x14ac:dyDescent="0.25">
      <c r="A70" s="27"/>
      <c r="B70" s="11" t="str">
        <f>CONCATENATE("          ", "6239", " - ", "KITCHEN SUPPLIES")</f>
        <v xml:space="preserve">          6239 - KITCHEN SUPPLIES</v>
      </c>
      <c r="C70" s="11"/>
      <c r="D70" s="7"/>
      <c r="E70" s="2"/>
      <c r="F70" s="6">
        <f t="shared" si="54"/>
        <v>0</v>
      </c>
      <c r="G70" s="2"/>
      <c r="H70" s="7"/>
      <c r="I70" s="2"/>
      <c r="J70" s="6">
        <f t="shared" si="55"/>
        <v>0</v>
      </c>
      <c r="K70" s="2"/>
      <c r="L70" s="7">
        <f t="shared" si="56"/>
        <v>0</v>
      </c>
      <c r="M70" s="2"/>
      <c r="N70" s="6">
        <f t="shared" si="57"/>
        <v>0</v>
      </c>
      <c r="O70" s="11"/>
      <c r="P70" s="7">
        <v>69.62</v>
      </c>
      <c r="Q70" s="2"/>
      <c r="R70" s="6">
        <f t="shared" si="58"/>
        <v>0</v>
      </c>
      <c r="S70" s="2"/>
      <c r="T70" s="7">
        <v>5000</v>
      </c>
      <c r="U70" s="2"/>
      <c r="V70" s="6">
        <f t="shared" si="59"/>
        <v>3.3198326804329062E-2</v>
      </c>
      <c r="W70" s="2"/>
      <c r="X70" s="7">
        <f t="shared" si="60"/>
        <v>-4930.38</v>
      </c>
      <c r="Y70" s="2"/>
      <c r="Z70" s="6">
        <f t="shared" si="61"/>
        <v>-0.98607600000000006</v>
      </c>
    </row>
    <row r="71" spans="1:26" s="24" customFormat="1" hidden="1" outlineLevel="2" x14ac:dyDescent="0.25">
      <c r="A71" s="27"/>
      <c r="B71" s="11" t="str">
        <f>CONCATENATE("          ", "6241", " - ", "OFFICE EXPENSE")</f>
        <v xml:space="preserve">          6241 - OFFICE EXPENSE</v>
      </c>
      <c r="C71" s="11"/>
      <c r="D71" s="7">
        <v>781.55</v>
      </c>
      <c r="E71" s="2"/>
      <c r="F71" s="6">
        <f t="shared" si="54"/>
        <v>0</v>
      </c>
      <c r="G71" s="2"/>
      <c r="H71" s="7"/>
      <c r="I71" s="2"/>
      <c r="J71" s="6">
        <f t="shared" si="55"/>
        <v>0</v>
      </c>
      <c r="K71" s="2"/>
      <c r="L71" s="7">
        <f t="shared" si="56"/>
        <v>781.55</v>
      </c>
      <c r="M71" s="2"/>
      <c r="N71" s="6">
        <f t="shared" si="57"/>
        <v>0</v>
      </c>
      <c r="O71" s="11"/>
      <c r="P71" s="7">
        <v>858.71</v>
      </c>
      <c r="Q71" s="2"/>
      <c r="R71" s="6">
        <f t="shared" si="58"/>
        <v>0</v>
      </c>
      <c r="S71" s="2"/>
      <c r="T71" s="7"/>
      <c r="U71" s="2"/>
      <c r="V71" s="6">
        <f t="shared" si="59"/>
        <v>0</v>
      </c>
      <c r="W71" s="2"/>
      <c r="X71" s="7">
        <f t="shared" si="60"/>
        <v>858.71</v>
      </c>
      <c r="Y71" s="2"/>
      <c r="Z71" s="6">
        <f t="shared" si="61"/>
        <v>0</v>
      </c>
    </row>
    <row r="72" spans="1:26" s="24" customFormat="1" hidden="1" outlineLevel="2" x14ac:dyDescent="0.25">
      <c r="A72" s="27"/>
      <c r="B72" s="11" t="str">
        <f>CONCATENATE("          ", "6243", " - ", "PAPER SUPPLIES")</f>
        <v xml:space="preserve">          6243 - PAPER SUPPLIES</v>
      </c>
      <c r="C72" s="11"/>
      <c r="D72" s="7">
        <v>138.19</v>
      </c>
      <c r="E72" s="2"/>
      <c r="F72" s="6">
        <f t="shared" si="54"/>
        <v>0</v>
      </c>
      <c r="G72" s="2"/>
      <c r="H72" s="7">
        <v>200</v>
      </c>
      <c r="I72" s="2"/>
      <c r="J72" s="6">
        <f t="shared" si="55"/>
        <v>2.8884203229253922E-3</v>
      </c>
      <c r="K72" s="2"/>
      <c r="L72" s="7">
        <f t="shared" si="56"/>
        <v>-61.81</v>
      </c>
      <c r="M72" s="2"/>
      <c r="N72" s="6">
        <f t="shared" si="57"/>
        <v>-0.30904999999999999</v>
      </c>
      <c r="O72" s="11"/>
      <c r="P72" s="7">
        <v>138.19</v>
      </c>
      <c r="Q72" s="2"/>
      <c r="R72" s="6">
        <f t="shared" si="58"/>
        <v>0</v>
      </c>
      <c r="S72" s="2"/>
      <c r="T72" s="7">
        <v>850</v>
      </c>
      <c r="U72" s="2"/>
      <c r="V72" s="6">
        <f t="shared" si="59"/>
        <v>5.6437155567359409E-3</v>
      </c>
      <c r="W72" s="2"/>
      <c r="X72" s="7">
        <f t="shared" si="60"/>
        <v>-711.81</v>
      </c>
      <c r="Y72" s="2"/>
      <c r="Z72" s="6">
        <f t="shared" si="61"/>
        <v>-0.83742352941176468</v>
      </c>
    </row>
    <row r="73" spans="1:26" s="24" customFormat="1" hidden="1" outlineLevel="2" x14ac:dyDescent="0.25">
      <c r="A73" s="27"/>
      <c r="B73" s="11" t="str">
        <f>CONCATENATE("          ", "6244", " - ", "SAFETY SUPPLY EXPENSE")</f>
        <v xml:space="preserve">          6244 - SAFETY SUPPLY EXPENSE</v>
      </c>
      <c r="C73" s="11"/>
      <c r="D73" s="7"/>
      <c r="E73" s="2"/>
      <c r="F73" s="6">
        <f t="shared" si="54"/>
        <v>0</v>
      </c>
      <c r="G73" s="2"/>
      <c r="H73" s="7"/>
      <c r="I73" s="2"/>
      <c r="J73" s="6">
        <f t="shared" si="55"/>
        <v>0</v>
      </c>
      <c r="K73" s="2"/>
      <c r="L73" s="7">
        <f t="shared" si="56"/>
        <v>0</v>
      </c>
      <c r="M73" s="2"/>
      <c r="N73" s="6">
        <f t="shared" si="57"/>
        <v>0</v>
      </c>
      <c r="O73" s="11"/>
      <c r="P73" s="7"/>
      <c r="Q73" s="2"/>
      <c r="R73" s="6">
        <f t="shared" si="58"/>
        <v>0</v>
      </c>
      <c r="S73" s="2"/>
      <c r="T73" s="7">
        <v>50</v>
      </c>
      <c r="U73" s="2"/>
      <c r="V73" s="6">
        <f t="shared" si="59"/>
        <v>3.3198326804329063E-4</v>
      </c>
      <c r="W73" s="2"/>
      <c r="X73" s="7">
        <f t="shared" si="60"/>
        <v>-50</v>
      </c>
      <c r="Y73" s="2"/>
      <c r="Z73" s="6">
        <f t="shared" si="61"/>
        <v>-1</v>
      </c>
    </row>
    <row r="74" spans="1:26" s="24" customFormat="1" hidden="1" outlineLevel="2" x14ac:dyDescent="0.25">
      <c r="A74" s="27"/>
      <c r="B74" s="11" t="str">
        <f>CONCATENATE("          ", "6245", " - ", "PRINTING")</f>
        <v xml:space="preserve">          6245 - PRINTING</v>
      </c>
      <c r="C74" s="11"/>
      <c r="D74" s="7">
        <v>338</v>
      </c>
      <c r="E74" s="2"/>
      <c r="F74" s="6">
        <f t="shared" si="54"/>
        <v>0</v>
      </c>
      <c r="G74" s="2"/>
      <c r="H74" s="7">
        <v>50</v>
      </c>
      <c r="I74" s="2"/>
      <c r="J74" s="6">
        <f t="shared" si="55"/>
        <v>7.2210508073134805E-4</v>
      </c>
      <c r="K74" s="2"/>
      <c r="L74" s="7">
        <f t="shared" si="56"/>
        <v>288</v>
      </c>
      <c r="M74" s="2"/>
      <c r="N74" s="6">
        <f t="shared" si="57"/>
        <v>5.76</v>
      </c>
      <c r="O74" s="11"/>
      <c r="P74" s="7">
        <v>338</v>
      </c>
      <c r="Q74" s="2"/>
      <c r="R74" s="6">
        <f t="shared" si="58"/>
        <v>0</v>
      </c>
      <c r="S74" s="2"/>
      <c r="T74" s="7">
        <v>400</v>
      </c>
      <c r="U74" s="2"/>
      <c r="V74" s="6">
        <f t="shared" si="59"/>
        <v>2.655866144346325E-3</v>
      </c>
      <c r="W74" s="2"/>
      <c r="X74" s="7">
        <f t="shared" si="60"/>
        <v>-62</v>
      </c>
      <c r="Y74" s="2"/>
      <c r="Z74" s="6">
        <f t="shared" si="61"/>
        <v>-0.155</v>
      </c>
    </row>
    <row r="75" spans="1:26" s="24" customFormat="1" hidden="1" outlineLevel="2" x14ac:dyDescent="0.25">
      <c r="A75" s="27"/>
      <c r="B75" s="11" t="str">
        <f>CONCATENATE("          ", "6248", " - ", "UNIFORMS")</f>
        <v xml:space="preserve">          6248 - UNIFORMS</v>
      </c>
      <c r="C75" s="11"/>
      <c r="D75" s="7"/>
      <c r="E75" s="2"/>
      <c r="F75" s="6">
        <f t="shared" si="54"/>
        <v>0</v>
      </c>
      <c r="G75" s="2"/>
      <c r="H75" s="7"/>
      <c r="I75" s="2"/>
      <c r="J75" s="6">
        <f t="shared" si="55"/>
        <v>0</v>
      </c>
      <c r="K75" s="2"/>
      <c r="L75" s="7">
        <f t="shared" si="56"/>
        <v>0</v>
      </c>
      <c r="M75" s="2"/>
      <c r="N75" s="6">
        <f t="shared" si="57"/>
        <v>0</v>
      </c>
      <c r="O75" s="11"/>
      <c r="P75" s="7"/>
      <c r="Q75" s="2"/>
      <c r="R75" s="6">
        <f t="shared" si="58"/>
        <v>0</v>
      </c>
      <c r="S75" s="2"/>
      <c r="T75" s="7">
        <v>800</v>
      </c>
      <c r="U75" s="2"/>
      <c r="V75" s="6">
        <f t="shared" si="59"/>
        <v>5.3117322886926501E-3</v>
      </c>
      <c r="W75" s="2"/>
      <c r="X75" s="7">
        <f t="shared" si="60"/>
        <v>-800</v>
      </c>
      <c r="Y75" s="2"/>
      <c r="Z75" s="6">
        <f t="shared" si="61"/>
        <v>-1</v>
      </c>
    </row>
    <row r="76" spans="1:26" s="28" customFormat="1" outlineLevel="1" collapsed="1" x14ac:dyDescent="0.25">
      <c r="A76" s="29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SUM(OSRRefD22_12x_0)</f>
        <v>0</v>
      </c>
      <c r="E76" s="1"/>
      <c r="F76" s="5">
        <f t="shared" ref="F76:F78" si="62">IF(D$12=0,0,D76/D$12)</f>
        <v>0</v>
      </c>
      <c r="G76" s="1"/>
      <c r="H76" s="1">
        <f>SUM(OSRRefH22_12x_0)</f>
        <v>225</v>
      </c>
      <c r="I76" s="1"/>
      <c r="J76" s="5">
        <f t="shared" ref="J76:J78" si="63">IF(H$12=0,0,H76/H$12)</f>
        <v>3.249472863291066E-3</v>
      </c>
      <c r="K76" s="1"/>
      <c r="L76" s="1">
        <f t="shared" ref="L76:L78" si="64">+D76-H76</f>
        <v>-225</v>
      </c>
      <c r="M76" s="1"/>
      <c r="N76" s="5">
        <f t="shared" ref="N76:N78" si="65">IF(H76=0,0,L76/H76)</f>
        <v>-1</v>
      </c>
      <c r="O76" s="14"/>
      <c r="P76" s="1">
        <f>SUM(OSRRefP22_12x_0)</f>
        <v>75</v>
      </c>
      <c r="Q76" s="1"/>
      <c r="R76" s="5">
        <f t="shared" ref="R76:R78" si="66">IF(P$12=0,0,P76/P$12)</f>
        <v>0</v>
      </c>
      <c r="S76" s="1"/>
      <c r="T76" s="1">
        <f>SUM(OSRRefT22_12x_0)</f>
        <v>600</v>
      </c>
      <c r="U76" s="1"/>
      <c r="V76" s="5">
        <f t="shared" ref="V76:V78" si="67">IF(T$12=0,0,T76/T$12)</f>
        <v>3.9837992165194878E-3</v>
      </c>
      <c r="W76" s="1"/>
      <c r="X76" s="1">
        <f t="shared" ref="X76:X78" si="68">+P76-T76</f>
        <v>-525</v>
      </c>
      <c r="Y76" s="1"/>
      <c r="Z76" s="5">
        <f t="shared" ref="Z76:Z78" si="69">IF(T76=0,0,X76/T76)</f>
        <v>-0.875</v>
      </c>
    </row>
    <row r="77" spans="1:26" s="24" customFormat="1" hidden="1" outlineLevel="2" x14ac:dyDescent="0.25">
      <c r="A77" s="27"/>
      <c r="B77" s="11" t="str">
        <f>CONCATENATE("          ", "6303", " - ", "DATA PHONE LINES")</f>
        <v xml:space="preserve">          6303 - DATA PHONE LINES</v>
      </c>
      <c r="C77" s="11"/>
      <c r="D77" s="7"/>
      <c r="E77" s="2"/>
      <c r="F77" s="6">
        <f t="shared" si="62"/>
        <v>0</v>
      </c>
      <c r="G77" s="2"/>
      <c r="H77" s="7">
        <v>75</v>
      </c>
      <c r="I77" s="2"/>
      <c r="J77" s="6">
        <f t="shared" si="63"/>
        <v>1.0831576210970221E-3</v>
      </c>
      <c r="K77" s="2"/>
      <c r="L77" s="7">
        <f t="shared" si="64"/>
        <v>-75</v>
      </c>
      <c r="M77" s="2"/>
      <c r="N77" s="6">
        <f t="shared" si="65"/>
        <v>-1</v>
      </c>
      <c r="O77" s="11"/>
      <c r="P77" s="7"/>
      <c r="Q77" s="2"/>
      <c r="R77" s="6">
        <f t="shared" si="66"/>
        <v>0</v>
      </c>
      <c r="S77" s="2"/>
      <c r="T77" s="7">
        <v>300</v>
      </c>
      <c r="U77" s="2"/>
      <c r="V77" s="6">
        <f t="shared" si="67"/>
        <v>1.9918996082597439E-3</v>
      </c>
      <c r="W77" s="2"/>
      <c r="X77" s="7">
        <f t="shared" si="68"/>
        <v>-300</v>
      </c>
      <c r="Y77" s="2"/>
      <c r="Z77" s="6">
        <f t="shared" si="69"/>
        <v>-1</v>
      </c>
    </row>
    <row r="78" spans="1:26" s="24" customFormat="1" hidden="1" outlineLevel="2" x14ac:dyDescent="0.25">
      <c r="A78" s="27"/>
      <c r="B78" s="11" t="str">
        <f>CONCATENATE("          ", "6309", " - ", "TELEPHONE")</f>
        <v xml:space="preserve">          6309 - TELEPHONE</v>
      </c>
      <c r="C78" s="11"/>
      <c r="D78" s="7">
        <v>0</v>
      </c>
      <c r="E78" s="2"/>
      <c r="F78" s="6">
        <f t="shared" si="62"/>
        <v>0</v>
      </c>
      <c r="G78" s="2"/>
      <c r="H78" s="7">
        <v>150</v>
      </c>
      <c r="I78" s="2"/>
      <c r="J78" s="6">
        <f t="shared" si="63"/>
        <v>2.1663152421940442E-3</v>
      </c>
      <c r="K78" s="2"/>
      <c r="L78" s="7">
        <f t="shared" si="64"/>
        <v>-150</v>
      </c>
      <c r="M78" s="2"/>
      <c r="N78" s="6">
        <f t="shared" si="65"/>
        <v>-1</v>
      </c>
      <c r="O78" s="11"/>
      <c r="P78" s="7">
        <v>75</v>
      </c>
      <c r="Q78" s="2"/>
      <c r="R78" s="6">
        <f t="shared" si="66"/>
        <v>0</v>
      </c>
      <c r="S78" s="2"/>
      <c r="T78" s="7">
        <v>300</v>
      </c>
      <c r="U78" s="2"/>
      <c r="V78" s="6">
        <f t="shared" si="67"/>
        <v>1.9918996082597439E-3</v>
      </c>
      <c r="W78" s="2"/>
      <c r="X78" s="7">
        <f t="shared" si="68"/>
        <v>-225</v>
      </c>
      <c r="Y78" s="2"/>
      <c r="Z78" s="6">
        <f t="shared" si="69"/>
        <v>-0.75</v>
      </c>
    </row>
    <row r="79" spans="1:26" s="28" customFormat="1" outlineLevel="1" collapsed="1" x14ac:dyDescent="0.25">
      <c r="A79" s="29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SUM(OSRRefD22_13x_0)</f>
        <v>0</v>
      </c>
      <c r="E79" s="1"/>
      <c r="F79" s="5">
        <f t="shared" ref="F79:F82" si="70">IF(D$12=0,0,D79/D$12)</f>
        <v>0</v>
      </c>
      <c r="G79" s="1"/>
      <c r="H79" s="1">
        <f>SUM(OSRRefH22_13x_0)</f>
        <v>0</v>
      </c>
      <c r="I79" s="1"/>
      <c r="J79" s="5">
        <f t="shared" ref="J79:J82" si="71">IF(H$12=0,0,H79/H$12)</f>
        <v>0</v>
      </c>
      <c r="K79" s="1"/>
      <c r="L79" s="1">
        <f t="shared" ref="L79:L82" si="72">+D79-H79</f>
        <v>0</v>
      </c>
      <c r="M79" s="1"/>
      <c r="N79" s="5">
        <f t="shared" ref="N79:N82" si="73">IF(H79=0,0,L79/H79)</f>
        <v>0</v>
      </c>
      <c r="O79" s="14"/>
      <c r="P79" s="1">
        <f>SUM(OSRRefP22_13x_0)</f>
        <v>0</v>
      </c>
      <c r="Q79" s="1"/>
      <c r="R79" s="5">
        <f t="shared" ref="R79:R82" si="74">IF(P$12=0,0,P79/P$12)</f>
        <v>0</v>
      </c>
      <c r="S79" s="1"/>
      <c r="T79" s="1">
        <f>SUM(OSRRefT22_13x_0)</f>
        <v>200</v>
      </c>
      <c r="U79" s="1"/>
      <c r="V79" s="5">
        <f t="shared" ref="V79:V82" si="75">IF(T$12=0,0,T79/T$12)</f>
        <v>1.3279330721731625E-3</v>
      </c>
      <c r="W79" s="1"/>
      <c r="X79" s="1">
        <f t="shared" ref="X79:X82" si="76">+P79-T79</f>
        <v>-200</v>
      </c>
      <c r="Y79" s="1"/>
      <c r="Z79" s="5">
        <f t="shared" ref="Z79:Z82" si="77">IF(T79=0,0,X79/T79)</f>
        <v>-1</v>
      </c>
    </row>
    <row r="80" spans="1:26" s="24" customFormat="1" hidden="1" outlineLevel="2" x14ac:dyDescent="0.25">
      <c r="A80" s="27"/>
      <c r="B80" s="11" t="str">
        <f>CONCATENATE("          ", "6376", " - ", "TRAINING")</f>
        <v xml:space="preserve">          6376 - TRAINING</v>
      </c>
      <c r="C80" s="11"/>
      <c r="D80" s="7"/>
      <c r="E80" s="2"/>
      <c r="F80" s="6">
        <f t="shared" si="70"/>
        <v>0</v>
      </c>
      <c r="G80" s="2"/>
      <c r="H80" s="7"/>
      <c r="I80" s="2"/>
      <c r="J80" s="6">
        <f t="shared" si="71"/>
        <v>0</v>
      </c>
      <c r="K80" s="2"/>
      <c r="L80" s="7">
        <f t="shared" si="72"/>
        <v>0</v>
      </c>
      <c r="M80" s="2"/>
      <c r="N80" s="6">
        <f t="shared" si="73"/>
        <v>0</v>
      </c>
      <c r="O80" s="11"/>
      <c r="P80" s="7"/>
      <c r="Q80" s="2"/>
      <c r="R80" s="6">
        <f t="shared" si="74"/>
        <v>0</v>
      </c>
      <c r="S80" s="2"/>
      <c r="T80" s="7">
        <v>200</v>
      </c>
      <c r="U80" s="2"/>
      <c r="V80" s="6">
        <f t="shared" si="75"/>
        <v>1.3279330721731625E-3</v>
      </c>
      <c r="W80" s="2"/>
      <c r="X80" s="7">
        <f t="shared" si="76"/>
        <v>-200</v>
      </c>
      <c r="Y80" s="2"/>
      <c r="Z80" s="6">
        <f t="shared" si="77"/>
        <v>-1</v>
      </c>
    </row>
    <row r="81" spans="1:26" s="28" customFormat="1" outlineLevel="1" collapsed="1" x14ac:dyDescent="0.25">
      <c r="A81" s="29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SUM(OSRRefD22_14x_0)</f>
        <v>0</v>
      </c>
      <c r="E81" s="1"/>
      <c r="F81" s="5">
        <f t="shared" si="70"/>
        <v>0</v>
      </c>
      <c r="G81" s="1"/>
      <c r="H81" s="1">
        <f>SUM(OSRRefH22_14x_0)</f>
        <v>500</v>
      </c>
      <c r="I81" s="1"/>
      <c r="J81" s="5">
        <f t="shared" si="71"/>
        <v>7.2210508073134805E-3</v>
      </c>
      <c r="K81" s="1"/>
      <c r="L81" s="1">
        <f t="shared" si="72"/>
        <v>-500</v>
      </c>
      <c r="M81" s="1"/>
      <c r="N81" s="5">
        <f t="shared" si="73"/>
        <v>-1</v>
      </c>
      <c r="O81" s="14"/>
      <c r="P81" s="1">
        <f>SUM(OSRRefP22_14x_0)</f>
        <v>0</v>
      </c>
      <c r="Q81" s="1"/>
      <c r="R81" s="5">
        <f t="shared" si="74"/>
        <v>0</v>
      </c>
      <c r="S81" s="1"/>
      <c r="T81" s="1">
        <f>SUM(OSRRefT22_14x_0)</f>
        <v>2000</v>
      </c>
      <c r="U81" s="1"/>
      <c r="V81" s="5">
        <f t="shared" si="75"/>
        <v>1.3279330721731625E-2</v>
      </c>
      <c r="W81" s="1"/>
      <c r="X81" s="1">
        <f t="shared" si="76"/>
        <v>-2000</v>
      </c>
      <c r="Y81" s="1"/>
      <c r="Z81" s="5">
        <f t="shared" si="77"/>
        <v>-1</v>
      </c>
    </row>
    <row r="82" spans="1:26" s="24" customFormat="1" hidden="1" outlineLevel="2" x14ac:dyDescent="0.25">
      <c r="A82" s="27"/>
      <c r="B82" s="11" t="str">
        <f>CONCATENATE("          ", "6274", " - ", "UTILITIES")</f>
        <v xml:space="preserve">          6274 - UTILITIES</v>
      </c>
      <c r="C82" s="11"/>
      <c r="D82" s="7"/>
      <c r="E82" s="2"/>
      <c r="F82" s="6">
        <f t="shared" si="70"/>
        <v>0</v>
      </c>
      <c r="G82" s="2"/>
      <c r="H82" s="7">
        <v>500</v>
      </c>
      <c r="I82" s="2"/>
      <c r="J82" s="6">
        <f t="shared" si="71"/>
        <v>7.2210508073134805E-3</v>
      </c>
      <c r="K82" s="2"/>
      <c r="L82" s="7">
        <f t="shared" si="72"/>
        <v>-500</v>
      </c>
      <c r="M82" s="2"/>
      <c r="N82" s="6">
        <f t="shared" si="73"/>
        <v>-1</v>
      </c>
      <c r="O82" s="11"/>
      <c r="P82" s="7"/>
      <c r="Q82" s="2"/>
      <c r="R82" s="6">
        <f t="shared" si="74"/>
        <v>0</v>
      </c>
      <c r="S82" s="2"/>
      <c r="T82" s="7">
        <v>2000</v>
      </c>
      <c r="U82" s="2"/>
      <c r="V82" s="6">
        <f t="shared" si="75"/>
        <v>1.3279330721731625E-2</v>
      </c>
      <c r="W82" s="2"/>
      <c r="X82" s="7">
        <f t="shared" si="76"/>
        <v>-2000</v>
      </c>
      <c r="Y82" s="2"/>
      <c r="Z82" s="6">
        <f t="shared" si="77"/>
        <v>-1</v>
      </c>
    </row>
    <row r="83" spans="1:26" s="60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collapsed="1" x14ac:dyDescent="0.25">
      <c r="A84" s="10"/>
      <c r="B84" s="25" t="s">
        <v>293</v>
      </c>
      <c r="C84" s="10"/>
      <c r="D84" s="4">
        <f>SUM(OSRRefD25x_0)</f>
        <v>341.5</v>
      </c>
      <c r="E84" s="4"/>
      <c r="F84" s="12">
        <f t="shared" ref="F84:F85" si="78">IF(D$12=0,0,D84/D$12)</f>
        <v>0</v>
      </c>
      <c r="G84" s="4"/>
      <c r="H84" s="4">
        <f>SUM(OSRRefH25x_0)</f>
        <v>0</v>
      </c>
      <c r="I84" s="4"/>
      <c r="J84" s="12">
        <f t="shared" ref="J84:J85" si="79">IF(H$12=0,0,H84/H$12)</f>
        <v>0</v>
      </c>
      <c r="K84" s="4"/>
      <c r="L84" s="4">
        <f t="shared" ref="L84:L85" si="80">+D84-H84</f>
        <v>341.5</v>
      </c>
      <c r="M84" s="4"/>
      <c r="N84" s="12">
        <f t="shared" ref="N84:N85" si="81">IF(H84=0,0,L84/H84)</f>
        <v>0</v>
      </c>
      <c r="O84" s="10"/>
      <c r="P84" s="4">
        <f>SUM(OSRRefP25x_0)</f>
        <v>341.5</v>
      </c>
      <c r="Q84" s="4"/>
      <c r="R84" s="12">
        <f t="shared" ref="R84:R85" si="82">IF(P$12=0,0,P84/P$12)</f>
        <v>0</v>
      </c>
      <c r="S84" s="4"/>
      <c r="T84" s="4">
        <f>SUM(OSRRefT25x_0)</f>
        <v>0</v>
      </c>
      <c r="U84" s="4"/>
      <c r="V84" s="12">
        <f t="shared" ref="V84:V85" si="83">IF(T$12=0,0,T84/T$12)</f>
        <v>0</v>
      </c>
      <c r="W84" s="4"/>
      <c r="X84" s="4">
        <f t="shared" ref="X84:X85" si="84">+P84-T84</f>
        <v>341.5</v>
      </c>
      <c r="Y84" s="4"/>
      <c r="Z84" s="12">
        <f t="shared" ref="Z84:Z85" si="85">IF(T84=0,0,X84/T84)</f>
        <v>0</v>
      </c>
    </row>
    <row r="85" spans="1:26" s="24" customFormat="1" hidden="1" outlineLevel="1" x14ac:dyDescent="0.25">
      <c r="A85" s="44"/>
      <c r="B85" s="11" t="str">
        <f>CONCATENATE("          ", "9150", " - ", "MISC. INCOME")</f>
        <v xml:space="preserve">          9150 - MISC. INCOME</v>
      </c>
      <c r="C85" s="11"/>
      <c r="D85" s="2">
        <f>--341.5</f>
        <v>341.5</v>
      </c>
      <c r="E85" s="2"/>
      <c r="F85" s="19">
        <f t="shared" si="78"/>
        <v>0</v>
      </c>
      <c r="G85" s="2"/>
      <c r="H85" s="2"/>
      <c r="I85" s="2"/>
      <c r="J85" s="19">
        <f t="shared" si="79"/>
        <v>0</v>
      </c>
      <c r="K85" s="2"/>
      <c r="L85" s="2">
        <f t="shared" si="80"/>
        <v>341.5</v>
      </c>
      <c r="M85" s="2"/>
      <c r="N85" s="19">
        <f t="shared" si="81"/>
        <v>0</v>
      </c>
      <c r="O85" s="11"/>
      <c r="P85" s="2">
        <f>--341.5</f>
        <v>341.5</v>
      </c>
      <c r="Q85" s="2"/>
      <c r="R85" s="19">
        <f t="shared" si="82"/>
        <v>0</v>
      </c>
      <c r="S85" s="2"/>
      <c r="T85" s="2"/>
      <c r="U85" s="2"/>
      <c r="V85" s="19">
        <f t="shared" si="83"/>
        <v>0</v>
      </c>
      <c r="W85" s="2"/>
      <c r="X85" s="2">
        <f t="shared" si="84"/>
        <v>341.5</v>
      </c>
      <c r="Y85" s="2"/>
      <c r="Z85" s="19">
        <f t="shared" si="85"/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6" t="s">
        <v>277</v>
      </c>
      <c r="C87" s="26"/>
      <c r="D87" s="21">
        <f>+D20-D22+D84</f>
        <v>-14190.6</v>
      </c>
      <c r="E87" s="13"/>
      <c r="F87" s="20">
        <f>IF(D$12=0,0,D87/D$12)</f>
        <v>0</v>
      </c>
      <c r="G87" s="13"/>
      <c r="H87" s="21">
        <f>+H20-H22+H84</f>
        <v>-23.13072692307469</v>
      </c>
      <c r="I87" s="13"/>
      <c r="J87" s="20">
        <f>IF(H$12=0,0,H87/H$12)</f>
        <v>-3.3405630864323228E-4</v>
      </c>
      <c r="K87" s="15"/>
      <c r="L87" s="21">
        <f>+D87-H87</f>
        <v>-14167.469273076926</v>
      </c>
      <c r="M87" s="15"/>
      <c r="N87" s="20">
        <f>IF(H87=0,0,L87/H87)</f>
        <v>612.49563492722655</v>
      </c>
      <c r="O87" s="25"/>
      <c r="P87" s="21">
        <f>+P20-P22+P84</f>
        <v>-74718.189999999988</v>
      </c>
      <c r="Q87" s="13"/>
      <c r="R87" s="20">
        <f>IF(P$12=0,0,P87/P$12)</f>
        <v>0</v>
      </c>
      <c r="S87" s="13"/>
      <c r="T87" s="21">
        <f>+T20-T22+T84</f>
        <v>-63749.540316153783</v>
      </c>
      <c r="U87" s="13"/>
      <c r="V87" s="20">
        <f>IF(T$12=0,0,T87/T$12)</f>
        <v>-0.42327561460828489</v>
      </c>
      <c r="W87" s="15"/>
      <c r="X87" s="21">
        <f>+P87-T87</f>
        <v>-10968.649683846204</v>
      </c>
      <c r="Y87" s="15"/>
      <c r="Z87" s="20">
        <f>IF(T87=0,0,X87/T87)</f>
        <v>0.17205849060948927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128</v>
      </c>
      <c r="C89" s="10"/>
      <c r="D89" s="4"/>
      <c r="E89" s="4"/>
      <c r="F89" s="12">
        <f>IF(D$12=0,0,D89/D$12)</f>
        <v>0</v>
      </c>
      <c r="G89" s="4"/>
      <c r="H89" s="4">
        <v>8483</v>
      </c>
      <c r="I89" s="4"/>
      <c r="J89" s="12">
        <f>IF(H$12=0,0,H89/H$12)</f>
        <v>0.1225123479968805</v>
      </c>
      <c r="K89" s="4"/>
      <c r="L89" s="4">
        <f>+D89-H89</f>
        <v>-8483</v>
      </c>
      <c r="M89" s="4"/>
      <c r="N89" s="12">
        <f>IF(H89=0,0,L89/H89)</f>
        <v>-1</v>
      </c>
      <c r="O89" s="10"/>
      <c r="P89" s="4"/>
      <c r="Q89" s="4"/>
      <c r="R89" s="12">
        <f>IF(P$12=0,0,P89/P$12)</f>
        <v>0</v>
      </c>
      <c r="S89" s="4"/>
      <c r="T89" s="4">
        <v>17318</v>
      </c>
      <c r="U89" s="4"/>
      <c r="V89" s="12">
        <f>IF(T$12=0,0,T89/T$12)</f>
        <v>0.11498572471947414</v>
      </c>
      <c r="W89" s="4"/>
      <c r="X89" s="4">
        <f>+P89-T89</f>
        <v>-17318</v>
      </c>
      <c r="Y89" s="4"/>
      <c r="Z89" s="12">
        <f>IF(T89=0,0,X89/T89)</f>
        <v>-1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6" t="s">
        <v>126</v>
      </c>
      <c r="C91" s="26"/>
      <c r="D91" s="31">
        <f>+D87-D89</f>
        <v>-14190.6</v>
      </c>
      <c r="E91" s="13"/>
      <c r="F91" s="33">
        <f>IF(D$12=0,0,D91/D$12)</f>
        <v>0</v>
      </c>
      <c r="G91" s="13"/>
      <c r="H91" s="31">
        <f>+H87-H89</f>
        <v>-8506.1307269230747</v>
      </c>
      <c r="I91" s="13"/>
      <c r="J91" s="33">
        <f>IF(H$12=0,0,H91/H$12)</f>
        <v>-0.12284640430552374</v>
      </c>
      <c r="K91" s="15"/>
      <c r="L91" s="31">
        <f>D91-H91</f>
        <v>-5684.4692730769257</v>
      </c>
      <c r="M91" s="15"/>
      <c r="N91" s="33">
        <f>IF(H91=0,0,L91/H91)</f>
        <v>0.66827908664568225</v>
      </c>
      <c r="O91" s="25"/>
      <c r="P91" s="31">
        <f>+P87-P89</f>
        <v>-74718.189999999988</v>
      </c>
      <c r="Q91" s="13"/>
      <c r="R91" s="33">
        <f>IF(P$12=0,0,P91/P$12)</f>
        <v>0</v>
      </c>
      <c r="S91" s="13"/>
      <c r="T91" s="31">
        <f>+T87-T89</f>
        <v>-81067.540316153783</v>
      </c>
      <c r="U91" s="13"/>
      <c r="V91" s="33">
        <f>IF(T$12=0,0,T91/T$12)</f>
        <v>-0.53826133932775899</v>
      </c>
      <c r="W91" s="15"/>
      <c r="X91" s="31">
        <f>P91-T91</f>
        <v>6349.3503161537956</v>
      </c>
      <c r="Y91" s="15"/>
      <c r="Z91" s="33">
        <f>IF(T91=0,0,X91/T91)</f>
        <v>-7.8321733845532787E-2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6" t="s">
        <v>294</v>
      </c>
      <c r="C94" s="26"/>
      <c r="D94" s="35">
        <f>SUM(D91:D93)</f>
        <v>-14190.6</v>
      </c>
      <c r="E94" s="13"/>
      <c r="F94" s="32">
        <f>IF(D$12=0,0,D94/D$12)</f>
        <v>0</v>
      </c>
      <c r="G94" s="13"/>
      <c r="H94" s="35">
        <f>SUM(H91:H93)</f>
        <v>-8506.1307269230747</v>
      </c>
      <c r="I94" s="13"/>
      <c r="J94" s="32">
        <f>IF(H$12=0,0,H94/H$12)</f>
        <v>-0.12284640430552374</v>
      </c>
      <c r="K94" s="15"/>
      <c r="L94" s="35">
        <f>+D94-H94</f>
        <v>-5684.4692730769257</v>
      </c>
      <c r="M94" s="15"/>
      <c r="N94" s="32">
        <f>IF(H94=0,0,L94/H94)</f>
        <v>0.66827908664568225</v>
      </c>
      <c r="O94" s="25"/>
      <c r="P94" s="35">
        <f>SUM(P91:P93)</f>
        <v>-74718.189999999988</v>
      </c>
      <c r="Q94" s="13"/>
      <c r="R94" s="32">
        <f>IF(P$12=0,0,P94/P$12)</f>
        <v>0</v>
      </c>
      <c r="S94" s="13"/>
      <c r="T94" s="35">
        <f>SUM(T91:T93)</f>
        <v>-81067.540316153783</v>
      </c>
      <c r="U94" s="13"/>
      <c r="V94" s="32">
        <f>IF(T$12=0,0,T94/T$12)</f>
        <v>-0.53826133932775899</v>
      </c>
      <c r="W94" s="15"/>
      <c r="X94" s="35">
        <f>+P94-T94</f>
        <v>6349.3503161537956</v>
      </c>
      <c r="Y94" s="15"/>
      <c r="Z94" s="32">
        <f>IF(T94=0,0,X94/T94)</f>
        <v>-7.8321733845532787E-2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9">
        <v>44517.962875613426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62" t="s">
        <v>56</v>
      </c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7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","423", " - ", "Contract/Vending Revenue")</f>
        <v>Department 423 - Contract/Vending Revenue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36</v>
      </c>
      <c r="E18" s="22"/>
      <c r="F18" s="34">
        <f t="shared" ref="F18:F27" si="0">IF(D$12=0,0,D18/D$12)</f>
        <v>0</v>
      </c>
      <c r="G18" s="22"/>
      <c r="H18" s="22">
        <f>SUM(OSRRefH22x_0)</f>
        <v>0</v>
      </c>
      <c r="I18" s="22"/>
      <c r="J18" s="34">
        <f t="shared" ref="J18:J27" si="1">IF(H$12=0,0,H18/H$12)</f>
        <v>0</v>
      </c>
      <c r="K18" s="4"/>
      <c r="L18" s="22">
        <f t="shared" ref="L18:L27" si="2">+D18-H18</f>
        <v>36</v>
      </c>
      <c r="M18" s="4"/>
      <c r="N18" s="34">
        <f t="shared" ref="N18:N27" si="3">IF(H18=0,0,L18/H18)</f>
        <v>0</v>
      </c>
      <c r="O18" s="10"/>
      <c r="P18" s="22">
        <f>SUM(OSRRefP22x_0)</f>
        <v>7997.51</v>
      </c>
      <c r="Q18" s="22"/>
      <c r="R18" s="34">
        <f t="shared" ref="R18:R27" si="4">IF(P$12=0,0,P18/P$12)</f>
        <v>0</v>
      </c>
      <c r="S18" s="22"/>
      <c r="T18" s="22">
        <f>SUM(OSRRefT22x_0)</f>
        <v>0</v>
      </c>
      <c r="U18" s="22"/>
      <c r="V18" s="34">
        <f t="shared" ref="V18:V27" si="5">IF(T$12=0,0,T18/T$12)</f>
        <v>0</v>
      </c>
      <c r="W18" s="4"/>
      <c r="X18" s="22">
        <f t="shared" ref="X18:X27" si="6">+P18-T18</f>
        <v>7997.51</v>
      </c>
      <c r="Y18" s="4"/>
      <c r="Z18" s="34">
        <f t="shared" ref="Z18:Z27" si="7">IF(T18=0,0,X18/T18)</f>
        <v>0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0</v>
      </c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/>
      <c r="Q20" s="2"/>
      <c r="R20" s="6">
        <f t="shared" si="4"/>
        <v>0</v>
      </c>
      <c r="S20" s="2"/>
      <c r="T20" s="7">
        <v>0</v>
      </c>
      <c r="U20" s="2"/>
      <c r="V20" s="6">
        <f t="shared" si="5"/>
        <v>0</v>
      </c>
      <c r="W20" s="2"/>
      <c r="X20" s="7">
        <f t="shared" si="6"/>
        <v>0</v>
      </c>
      <c r="Y20" s="2"/>
      <c r="Z20" s="6">
        <f t="shared" si="7"/>
        <v>0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0</v>
      </c>
      <c r="I21" s="2"/>
      <c r="J21" s="6">
        <f t="shared" si="1"/>
        <v>0</v>
      </c>
      <c r="K21" s="2"/>
      <c r="L21" s="7">
        <f t="shared" si="2"/>
        <v>0</v>
      </c>
      <c r="M21" s="2"/>
      <c r="N21" s="6">
        <f t="shared" si="3"/>
        <v>0</v>
      </c>
      <c r="O21" s="11"/>
      <c r="P21" s="7"/>
      <c r="Q21" s="2"/>
      <c r="R21" s="6">
        <f t="shared" si="4"/>
        <v>0</v>
      </c>
      <c r="S21" s="2"/>
      <c r="T21" s="7">
        <v>0</v>
      </c>
      <c r="U21" s="2"/>
      <c r="V21" s="6">
        <f t="shared" si="5"/>
        <v>0</v>
      </c>
      <c r="W21" s="2"/>
      <c r="X21" s="7">
        <f t="shared" si="6"/>
        <v>0</v>
      </c>
      <c r="Y21" s="2"/>
      <c r="Z21" s="6">
        <f t="shared" si="7"/>
        <v>0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0</v>
      </c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/>
      <c r="Q22" s="2"/>
      <c r="R22" s="6">
        <f t="shared" si="4"/>
        <v>0</v>
      </c>
      <c r="S22" s="2"/>
      <c r="T22" s="7">
        <v>0</v>
      </c>
      <c r="U22" s="2"/>
      <c r="V22" s="6">
        <f t="shared" si="5"/>
        <v>0</v>
      </c>
      <c r="W22" s="2"/>
      <c r="X22" s="7">
        <f t="shared" si="6"/>
        <v>0</v>
      </c>
      <c r="Y22" s="2"/>
      <c r="Z22" s="6">
        <f t="shared" si="7"/>
        <v>0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0</v>
      </c>
      <c r="I23" s="2"/>
      <c r="J23" s="6">
        <f t="shared" si="1"/>
        <v>0</v>
      </c>
      <c r="K23" s="2"/>
      <c r="L23" s="7">
        <f t="shared" si="2"/>
        <v>0</v>
      </c>
      <c r="M23" s="2"/>
      <c r="N23" s="6">
        <f t="shared" si="3"/>
        <v>0</v>
      </c>
      <c r="O23" s="11"/>
      <c r="P23" s="7"/>
      <c r="Q23" s="2"/>
      <c r="R23" s="6">
        <f t="shared" si="4"/>
        <v>0</v>
      </c>
      <c r="S23" s="2"/>
      <c r="T23" s="7">
        <v>0</v>
      </c>
      <c r="U23" s="2"/>
      <c r="V23" s="6">
        <f t="shared" si="5"/>
        <v>0</v>
      </c>
      <c r="W23" s="2"/>
      <c r="X23" s="7">
        <f t="shared" si="6"/>
        <v>0</v>
      </c>
      <c r="Y23" s="2"/>
      <c r="Z23" s="6">
        <f t="shared" si="7"/>
        <v>0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0</v>
      </c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/>
      <c r="Q26" s="2"/>
      <c r="R26" s="6">
        <f t="shared" si="4"/>
        <v>0</v>
      </c>
      <c r="S26" s="2"/>
      <c r="T26" s="7">
        <v>0</v>
      </c>
      <c r="U26" s="2"/>
      <c r="V26" s="6">
        <f t="shared" si="5"/>
        <v>0</v>
      </c>
      <c r="W26" s="2"/>
      <c r="X26" s="7">
        <f t="shared" si="6"/>
        <v>0</v>
      </c>
      <c r="Y26" s="2"/>
      <c r="Z26" s="6">
        <f t="shared" si="7"/>
        <v>0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0</v>
      </c>
      <c r="M27" s="2"/>
      <c r="N27" s="6">
        <f t="shared" si="3"/>
        <v>0</v>
      </c>
      <c r="O27" s="11"/>
      <c r="P27" s="7"/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0</v>
      </c>
      <c r="Y27" s="2"/>
      <c r="Z27" s="6">
        <f t="shared" si="7"/>
        <v>0</v>
      </c>
    </row>
    <row r="28" spans="1:26" s="28" customFormat="1" outlineLevel="1" collapsed="1" x14ac:dyDescent="0.25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0</v>
      </c>
      <c r="I28" s="1"/>
      <c r="J28" s="5">
        <f t="shared" ref="J28:J38" si="9">IF(H$12=0,0,H28/H$12)</f>
        <v>0</v>
      </c>
      <c r="K28" s="1"/>
      <c r="L28" s="1">
        <f t="shared" ref="L28:L38" si="10">+D28-H28</f>
        <v>0</v>
      </c>
      <c r="M28" s="1"/>
      <c r="N28" s="5">
        <f t="shared" ref="N28:N38" si="11">IF(H28=0,0,L28/H28)</f>
        <v>0</v>
      </c>
      <c r="O28" s="14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0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0</v>
      </c>
      <c r="Y28" s="1"/>
      <c r="Z28" s="5">
        <f t="shared" ref="Z28:Z38" si="15">IF(T28=0,0,X28/T28)</f>
        <v>0</v>
      </c>
    </row>
    <row r="29" spans="1:26" s="24" customFormat="1" hidden="1" outlineLevel="2" x14ac:dyDescent="0.25">
      <c r="A29" s="27"/>
      <c r="B29" s="11" t="str">
        <f>CONCATENATE("          ", "6001", " - ", "ADMINISTRATIVE SALARIES")</f>
        <v xml:space="preserve">          6001 - ADMINISTRATIVE SALARIES</v>
      </c>
      <c r="C29" s="11"/>
      <c r="D29" s="7"/>
      <c r="E29" s="2"/>
      <c r="F29" s="6">
        <f t="shared" si="8"/>
        <v>0</v>
      </c>
      <c r="G29" s="2"/>
      <c r="H29" s="7">
        <v>0</v>
      </c>
      <c r="I29" s="2"/>
      <c r="J29" s="6">
        <f t="shared" si="9"/>
        <v>0</v>
      </c>
      <c r="K29" s="2"/>
      <c r="L29" s="7">
        <f t="shared" si="10"/>
        <v>0</v>
      </c>
      <c r="M29" s="2"/>
      <c r="N29" s="6">
        <f t="shared" si="11"/>
        <v>0</v>
      </c>
      <c r="O29" s="11"/>
      <c r="P29" s="7"/>
      <c r="Q29" s="2"/>
      <c r="R29" s="6">
        <f t="shared" si="12"/>
        <v>0</v>
      </c>
      <c r="S29" s="2"/>
      <c r="T29" s="7">
        <v>0</v>
      </c>
      <c r="U29" s="2"/>
      <c r="V29" s="6">
        <f t="shared" si="13"/>
        <v>0</v>
      </c>
      <c r="W29" s="2"/>
      <c r="X29" s="7">
        <f t="shared" si="14"/>
        <v>0</v>
      </c>
      <c r="Y29" s="2"/>
      <c r="Z29" s="6">
        <f t="shared" si="15"/>
        <v>0</v>
      </c>
    </row>
    <row r="30" spans="1:26" s="24" customFormat="1" hidden="1" outlineLevel="2" x14ac:dyDescent="0.25">
      <c r="A30" s="27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7"/>
      <c r="B31" s="11" t="str">
        <f>CONCATENATE("          ", "6003", " - ", "STAFF HOURLY-9 MONTH")</f>
        <v xml:space="preserve">          6003 - STAFF HOURLY-9 MONTH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7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7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7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7"/>
      <c r="B37" s="11" t="str">
        <f>CONCATENATE("          ", "6009", " - ", "TEMPORARY-SEASONAL")</f>
        <v xml:space="preserve">          6009 - TEMPORARY-SEASONAL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7"/>
      <c r="B38" s="11" t="str">
        <f>CONCATENATE("          ", "6010", " - ", "GRATUITY")</f>
        <v xml:space="preserve">          6010 - GRATUITY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8" customFormat="1" outlineLevel="1" collapsed="1" x14ac:dyDescent="0.25">
      <c r="A39" s="29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SUM(OSRRefD22_2x_0)</f>
        <v>0</v>
      </c>
      <c r="E39" s="1"/>
      <c r="F39" s="5">
        <f t="shared" ref="F39:F46" si="16">IF(D$12=0,0,D39/D$12)</f>
        <v>0</v>
      </c>
      <c r="G39" s="1"/>
      <c r="H39" s="1">
        <f>SUM(OSRRefH22_2x_0)</f>
        <v>0</v>
      </c>
      <c r="I39" s="1"/>
      <c r="J39" s="5">
        <f t="shared" ref="J39:J46" si="17">IF(H$12=0,0,H39/H$12)</f>
        <v>0</v>
      </c>
      <c r="K39" s="1"/>
      <c r="L39" s="1">
        <f t="shared" ref="L39:L46" si="18">+D39-H39</f>
        <v>0</v>
      </c>
      <c r="M39" s="1"/>
      <c r="N39" s="5">
        <f t="shared" ref="N39:N46" si="19">IF(H39=0,0,L39/H39)</f>
        <v>0</v>
      </c>
      <c r="O39" s="14"/>
      <c r="P39" s="1">
        <f>SUM(OSRRefP22_2x_0)</f>
        <v>7489.93</v>
      </c>
      <c r="Q39" s="1"/>
      <c r="R39" s="5">
        <f t="shared" ref="R39:R46" si="20">IF(P$12=0,0,P39/P$12)</f>
        <v>0</v>
      </c>
      <c r="S39" s="1"/>
      <c r="T39" s="1">
        <f>SUM(OSRRefT22_2x_0)</f>
        <v>0</v>
      </c>
      <c r="U39" s="1"/>
      <c r="V39" s="5">
        <f t="shared" ref="V39:V46" si="21">IF(T$12=0,0,T39/T$12)</f>
        <v>0</v>
      </c>
      <c r="W39" s="1"/>
      <c r="X39" s="1">
        <f t="shared" ref="X39:X46" si="22">+P39-T39</f>
        <v>7489.93</v>
      </c>
      <c r="Y39" s="1"/>
      <c r="Z39" s="5">
        <f t="shared" ref="Z39:Z46" si="23">IF(T39=0,0,X39/T39)</f>
        <v>0</v>
      </c>
    </row>
    <row r="40" spans="1:26" s="24" customFormat="1" hidden="1" outlineLevel="2" x14ac:dyDescent="0.25">
      <c r="A40" s="27"/>
      <c r="B40" s="11" t="str">
        <f>CONCATENATE("          ", "6279", " - ", "GENERAL EXPENSE")</f>
        <v xml:space="preserve">          6279 - GENERAL EXPENSE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>
        <v>7489.93</v>
      </c>
      <c r="Q40" s="2"/>
      <c r="R40" s="6">
        <f t="shared" si="20"/>
        <v>0</v>
      </c>
      <c r="S40" s="2"/>
      <c r="T40" s="7"/>
      <c r="U40" s="2"/>
      <c r="V40" s="6">
        <f t="shared" si="21"/>
        <v>0</v>
      </c>
      <c r="W40" s="2"/>
      <c r="X40" s="7">
        <f t="shared" si="22"/>
        <v>7489.93</v>
      </c>
      <c r="Y40" s="2"/>
      <c r="Z40" s="6">
        <f t="shared" si="23"/>
        <v>0</v>
      </c>
    </row>
    <row r="41" spans="1:26" s="28" customFormat="1" outlineLevel="1" collapsed="1" x14ac:dyDescent="0.25">
      <c r="A41" s="29"/>
      <c r="B41" s="14" t="str">
        <f>CONCATENATE("     ","Services                                          ")</f>
        <v xml:space="preserve">     Services                                          </v>
      </c>
      <c r="C41" s="14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7"/>
      <c r="B42" s="11" t="str">
        <f>CONCATENATE("          ", "6284", " - ", "TRASH REMOVAL EXPENSE")</f>
        <v xml:space="preserve">          6284 - TRASH REMOVAL EXPENSE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0</v>
      </c>
      <c r="U42" s="2"/>
      <c r="V42" s="6">
        <f t="shared" si="21"/>
        <v>0</v>
      </c>
      <c r="W42" s="2"/>
      <c r="X42" s="7">
        <f t="shared" si="22"/>
        <v>0</v>
      </c>
      <c r="Y42" s="2"/>
      <c r="Z42" s="6">
        <f t="shared" si="23"/>
        <v>0</v>
      </c>
    </row>
    <row r="43" spans="1:26" s="28" customFormat="1" outlineLevel="1" collapsed="1" x14ac:dyDescent="0.25">
      <c r="A43" s="29"/>
      <c r="B43" s="14" t="str">
        <f>CONCATENATE("     ","Supplies                                          ")</f>
        <v xml:space="preserve">     Supplies                                          </v>
      </c>
      <c r="C43" s="14"/>
      <c r="D43" s="1">
        <f>SUM(OSRRefD22_4x_0)</f>
        <v>0</v>
      </c>
      <c r="E43" s="1"/>
      <c r="F43" s="5">
        <f t="shared" si="16"/>
        <v>0</v>
      </c>
      <c r="G43" s="1"/>
      <c r="H43" s="1">
        <f>SUM(OSRRefH22_4x_0)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4"/>
      <c r="P43" s="1">
        <f>SUM(OSRRefP22_4x_0)</f>
        <v>498.58</v>
      </c>
      <c r="Q43" s="1"/>
      <c r="R43" s="5">
        <f t="shared" si="20"/>
        <v>0</v>
      </c>
      <c r="S43" s="1"/>
      <c r="T43" s="1">
        <f>SUM(OSRRefT22_4x_0)</f>
        <v>0</v>
      </c>
      <c r="U43" s="1"/>
      <c r="V43" s="5">
        <f t="shared" si="21"/>
        <v>0</v>
      </c>
      <c r="W43" s="1"/>
      <c r="X43" s="1">
        <f t="shared" si="22"/>
        <v>498.58</v>
      </c>
      <c r="Y43" s="1"/>
      <c r="Z43" s="5">
        <f t="shared" si="23"/>
        <v>0</v>
      </c>
    </row>
    <row r="44" spans="1:26" s="24" customFormat="1" hidden="1" outlineLevel="2" x14ac:dyDescent="0.25">
      <c r="A44" s="27"/>
      <c r="B44" s="11" t="str">
        <f>CONCATENATE("          ", "6241", " - ", "OFFICE EXPENSE")</f>
        <v xml:space="preserve">          6241 - OFFICE EXPENSE</v>
      </c>
      <c r="C44" s="11"/>
      <c r="D44" s="7"/>
      <c r="E44" s="2"/>
      <c r="F44" s="6">
        <f t="shared" si="16"/>
        <v>0</v>
      </c>
      <c r="G44" s="2"/>
      <c r="H44" s="7"/>
      <c r="I44" s="2"/>
      <c r="J44" s="6">
        <f t="shared" si="17"/>
        <v>0</v>
      </c>
      <c r="K44" s="2"/>
      <c r="L44" s="7">
        <f t="shared" si="18"/>
        <v>0</v>
      </c>
      <c r="M44" s="2"/>
      <c r="N44" s="6">
        <f t="shared" si="19"/>
        <v>0</v>
      </c>
      <c r="O44" s="11"/>
      <c r="P44" s="7">
        <v>498.58</v>
      </c>
      <c r="Q44" s="2"/>
      <c r="R44" s="6">
        <f t="shared" si="20"/>
        <v>0</v>
      </c>
      <c r="S44" s="2"/>
      <c r="T44" s="7"/>
      <c r="U44" s="2"/>
      <c r="V44" s="6">
        <f t="shared" si="21"/>
        <v>0</v>
      </c>
      <c r="W44" s="2"/>
      <c r="X44" s="7">
        <f t="shared" si="22"/>
        <v>498.58</v>
      </c>
      <c r="Y44" s="2"/>
      <c r="Z44" s="6">
        <f t="shared" si="23"/>
        <v>0</v>
      </c>
    </row>
    <row r="45" spans="1:26" s="28" customFormat="1" outlineLevel="1" collapsed="1" x14ac:dyDescent="0.25">
      <c r="A45" s="29"/>
      <c r="B45" s="14" t="str">
        <f>CONCATENATE("     ","Telephone/Data Lines                              ")</f>
        <v xml:space="preserve">     Telephone/Data Lines                              </v>
      </c>
      <c r="C45" s="14"/>
      <c r="D45" s="1">
        <f>SUM(OSRRefD22_5x_0)</f>
        <v>36</v>
      </c>
      <c r="E45" s="1"/>
      <c r="F45" s="5">
        <f t="shared" si="16"/>
        <v>0</v>
      </c>
      <c r="G45" s="1"/>
      <c r="H45" s="1">
        <f>SUM(OSRRefH22_5x_0)</f>
        <v>0</v>
      </c>
      <c r="I45" s="1"/>
      <c r="J45" s="5">
        <f t="shared" si="17"/>
        <v>0</v>
      </c>
      <c r="K45" s="1"/>
      <c r="L45" s="1">
        <f t="shared" si="18"/>
        <v>36</v>
      </c>
      <c r="M45" s="1"/>
      <c r="N45" s="5">
        <f t="shared" si="19"/>
        <v>0</v>
      </c>
      <c r="O45" s="14"/>
      <c r="P45" s="1">
        <f>SUM(OSRRefP22_5x_0)</f>
        <v>9</v>
      </c>
      <c r="Q45" s="1"/>
      <c r="R45" s="5">
        <f t="shared" si="20"/>
        <v>0</v>
      </c>
      <c r="S45" s="1"/>
      <c r="T45" s="1">
        <f>SUM(OSRRefT22_5x_0)</f>
        <v>0</v>
      </c>
      <c r="U45" s="1"/>
      <c r="V45" s="5">
        <f t="shared" si="21"/>
        <v>0</v>
      </c>
      <c r="W45" s="1"/>
      <c r="X45" s="1">
        <f t="shared" si="22"/>
        <v>9</v>
      </c>
      <c r="Y45" s="1"/>
      <c r="Z45" s="5">
        <f t="shared" si="23"/>
        <v>0</v>
      </c>
    </row>
    <row r="46" spans="1:26" s="24" customFormat="1" hidden="1" outlineLevel="2" x14ac:dyDescent="0.25">
      <c r="A46" s="27"/>
      <c r="B46" s="11" t="str">
        <f>CONCATENATE("          ", "6309", " - ", "TELEPHONE")</f>
        <v xml:space="preserve">          6309 - TELEPHONE</v>
      </c>
      <c r="C46" s="11"/>
      <c r="D46" s="7">
        <v>36</v>
      </c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36</v>
      </c>
      <c r="M46" s="2"/>
      <c r="N46" s="6">
        <f t="shared" si="19"/>
        <v>0</v>
      </c>
      <c r="O46" s="11"/>
      <c r="P46" s="7">
        <v>9</v>
      </c>
      <c r="Q46" s="2"/>
      <c r="R46" s="6">
        <f t="shared" si="20"/>
        <v>0</v>
      </c>
      <c r="S46" s="2"/>
      <c r="T46" s="7"/>
      <c r="U46" s="2"/>
      <c r="V46" s="6">
        <f t="shared" si="21"/>
        <v>0</v>
      </c>
      <c r="W46" s="2"/>
      <c r="X46" s="7">
        <f t="shared" si="22"/>
        <v>9</v>
      </c>
      <c r="Y46" s="2"/>
      <c r="Z46" s="6">
        <f t="shared" si="23"/>
        <v>0</v>
      </c>
    </row>
    <row r="47" spans="1:26" s="60" customFormat="1" x14ac:dyDescent="0.25">
      <c r="A47" s="36"/>
      <c r="B47" s="36"/>
      <c r="C47" s="36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collapsed="1" x14ac:dyDescent="0.25">
      <c r="A48" s="10"/>
      <c r="B48" s="25" t="s">
        <v>293</v>
      </c>
      <c r="C48" s="10"/>
      <c r="D48" s="4">
        <f>SUM(OSRRefD25x_0)</f>
        <v>5936.59</v>
      </c>
      <c r="E48" s="4"/>
      <c r="F48" s="12">
        <f t="shared" ref="F48:F49" si="24">IF(D$12=0,0,D48/D$12)</f>
        <v>0</v>
      </c>
      <c r="G48" s="4"/>
      <c r="H48" s="4">
        <f>SUM(OSRRefH25x_0)</f>
        <v>250</v>
      </c>
      <c r="I48" s="4"/>
      <c r="J48" s="12">
        <f t="shared" ref="J48:J49" si="25">IF(H$12=0,0,H48/H$12)</f>
        <v>0</v>
      </c>
      <c r="K48" s="4"/>
      <c r="L48" s="4">
        <f t="shared" ref="L48:L49" si="26">+D48-H48</f>
        <v>5686.59</v>
      </c>
      <c r="M48" s="4"/>
      <c r="N48" s="12">
        <f t="shared" ref="N48:N49" si="27">IF(H48=0,0,L48/H48)</f>
        <v>22.746359999999999</v>
      </c>
      <c r="O48" s="10"/>
      <c r="P48" s="4">
        <f>SUM(OSRRefP25x_0)</f>
        <v>20116.939999999999</v>
      </c>
      <c r="Q48" s="4"/>
      <c r="R48" s="12">
        <f t="shared" ref="R48:R49" si="28">IF(P$12=0,0,P48/P$12)</f>
        <v>0</v>
      </c>
      <c r="S48" s="4"/>
      <c r="T48" s="4">
        <f>SUM(OSRRefT25x_0)</f>
        <v>500</v>
      </c>
      <c r="U48" s="4"/>
      <c r="V48" s="12">
        <f t="shared" ref="V48:V49" si="29">IF(T$12=0,0,T48/T$12)</f>
        <v>0</v>
      </c>
      <c r="W48" s="4"/>
      <c r="X48" s="4">
        <f t="shared" ref="X48:X49" si="30">+P48-T48</f>
        <v>19616.939999999999</v>
      </c>
      <c r="Y48" s="4"/>
      <c r="Z48" s="12">
        <f t="shared" ref="Z48:Z49" si="31">IF(T48=0,0,X48/T48)</f>
        <v>39.233879999999999</v>
      </c>
    </row>
    <row r="49" spans="1:26" s="24" customFormat="1" hidden="1" outlineLevel="1" x14ac:dyDescent="0.25">
      <c r="A49" s="44"/>
      <c r="B49" s="11" t="str">
        <f>CONCATENATE("          ", "9150", " - ", "MISC. INCOME")</f>
        <v xml:space="preserve">          9150 - MISC. INCOME</v>
      </c>
      <c r="C49" s="11"/>
      <c r="D49" s="2">
        <f>--5936.59</f>
        <v>5936.59</v>
      </c>
      <c r="E49" s="2"/>
      <c r="F49" s="19">
        <f t="shared" si="24"/>
        <v>0</v>
      </c>
      <c r="G49" s="2"/>
      <c r="H49" s="2">
        <v>250</v>
      </c>
      <c r="I49" s="2"/>
      <c r="J49" s="19">
        <f t="shared" si="25"/>
        <v>0</v>
      </c>
      <c r="K49" s="2"/>
      <c r="L49" s="2">
        <f t="shared" si="26"/>
        <v>5686.59</v>
      </c>
      <c r="M49" s="2"/>
      <c r="N49" s="19">
        <f t="shared" si="27"/>
        <v>22.746359999999999</v>
      </c>
      <c r="O49" s="11"/>
      <c r="P49" s="2">
        <f>--20116.94</f>
        <v>20116.939999999999</v>
      </c>
      <c r="Q49" s="2"/>
      <c r="R49" s="19">
        <f t="shared" si="28"/>
        <v>0</v>
      </c>
      <c r="S49" s="2"/>
      <c r="T49" s="2">
        <v>500</v>
      </c>
      <c r="U49" s="2"/>
      <c r="V49" s="19">
        <f t="shared" si="29"/>
        <v>0</v>
      </c>
      <c r="W49" s="2"/>
      <c r="X49" s="2">
        <f t="shared" si="30"/>
        <v>19616.939999999999</v>
      </c>
      <c r="Y49" s="2"/>
      <c r="Z49" s="19">
        <f t="shared" si="31"/>
        <v>39.233879999999999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6" t="s">
        <v>277</v>
      </c>
      <c r="C51" s="26"/>
      <c r="D51" s="21">
        <f>+D16-D18+D48</f>
        <v>5900.59</v>
      </c>
      <c r="E51" s="13"/>
      <c r="F51" s="20">
        <f>IF(D$12=0,0,D51/D$12)</f>
        <v>0</v>
      </c>
      <c r="G51" s="13"/>
      <c r="H51" s="21">
        <f>+H16-H18+H48</f>
        <v>250</v>
      </c>
      <c r="I51" s="13"/>
      <c r="J51" s="20">
        <f>IF(H$12=0,0,H51/H$12)</f>
        <v>0</v>
      </c>
      <c r="K51" s="15"/>
      <c r="L51" s="21">
        <f>+D51-H51</f>
        <v>5650.59</v>
      </c>
      <c r="M51" s="15"/>
      <c r="N51" s="20">
        <f>IF(H51=0,0,L51/H51)</f>
        <v>22.602360000000001</v>
      </c>
      <c r="O51" s="25"/>
      <c r="P51" s="21">
        <f>+P16-P18+P48</f>
        <v>12119.429999999998</v>
      </c>
      <c r="Q51" s="13"/>
      <c r="R51" s="20">
        <f>IF(P$12=0,0,P51/P$12)</f>
        <v>0</v>
      </c>
      <c r="S51" s="13"/>
      <c r="T51" s="21">
        <f>+T16-T18+T48</f>
        <v>500</v>
      </c>
      <c r="U51" s="13"/>
      <c r="V51" s="20">
        <f>IF(T$12=0,0,T51/T$12)</f>
        <v>0</v>
      </c>
      <c r="W51" s="15"/>
      <c r="X51" s="21">
        <f>+P51-T51</f>
        <v>11619.429999999998</v>
      </c>
      <c r="Y51" s="15"/>
      <c r="Z51" s="20">
        <f>IF(T51=0,0,X51/T51)</f>
        <v>23.238859999999995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52"/>
      <c r="B53" s="10" t="s">
        <v>128</v>
      </c>
      <c r="C53" s="10"/>
      <c r="D53" s="4"/>
      <c r="E53" s="4"/>
      <c r="F53" s="12">
        <f>IF(D$12=0,0,D53/D$12)</f>
        <v>0</v>
      </c>
      <c r="G53" s="4"/>
      <c r="H53" s="4"/>
      <c r="I53" s="4"/>
      <c r="J53" s="12">
        <f>IF(H$12=0,0,H53/H$12)</f>
        <v>0</v>
      </c>
      <c r="K53" s="4"/>
      <c r="L53" s="4">
        <f>+D53-H53</f>
        <v>0</v>
      </c>
      <c r="M53" s="4"/>
      <c r="N53" s="12">
        <f>IF(H53=0,0,L53/H53)</f>
        <v>0</v>
      </c>
      <c r="O53" s="10"/>
      <c r="P53" s="4"/>
      <c r="Q53" s="4"/>
      <c r="R53" s="12">
        <f>IF(P$12=0,0,P53/P$12)</f>
        <v>0</v>
      </c>
      <c r="S53" s="4"/>
      <c r="T53" s="4"/>
      <c r="U53" s="4"/>
      <c r="V53" s="12">
        <f>IF(T$12=0,0,T53/T$12)</f>
        <v>0</v>
      </c>
      <c r="W53" s="4"/>
      <c r="X53" s="4">
        <f>+P53-T53</f>
        <v>0</v>
      </c>
      <c r="Y53" s="4"/>
      <c r="Z53" s="12">
        <f>IF(T53=0,0,X53/T53)</f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6" t="s">
        <v>126</v>
      </c>
      <c r="C55" s="26"/>
      <c r="D55" s="31">
        <f>+D51-D53</f>
        <v>5900.59</v>
      </c>
      <c r="E55" s="13"/>
      <c r="F55" s="33">
        <f>IF(D$12=0,0,D55/D$12)</f>
        <v>0</v>
      </c>
      <c r="G55" s="13"/>
      <c r="H55" s="31">
        <f>+H51-H53</f>
        <v>250</v>
      </c>
      <c r="I55" s="13"/>
      <c r="J55" s="33">
        <f>IF(H$12=0,0,H55/H$12)</f>
        <v>0</v>
      </c>
      <c r="K55" s="15"/>
      <c r="L55" s="31">
        <f>D55-H55</f>
        <v>5650.59</v>
      </c>
      <c r="M55" s="15"/>
      <c r="N55" s="33">
        <f>IF(H55=0,0,L55/H55)</f>
        <v>22.602360000000001</v>
      </c>
      <c r="O55" s="25"/>
      <c r="P55" s="31">
        <f>+P51-P53</f>
        <v>12119.429999999998</v>
      </c>
      <c r="Q55" s="13"/>
      <c r="R55" s="33">
        <f>IF(P$12=0,0,P55/P$12)</f>
        <v>0</v>
      </c>
      <c r="S55" s="13"/>
      <c r="T55" s="31">
        <f>+T51-T53</f>
        <v>500</v>
      </c>
      <c r="U55" s="13"/>
      <c r="V55" s="33">
        <f>IF(T$12=0,0,T55/T$12)</f>
        <v>0</v>
      </c>
      <c r="W55" s="15"/>
      <c r="X55" s="31">
        <f>P55-T55</f>
        <v>11619.429999999998</v>
      </c>
      <c r="Y55" s="15"/>
      <c r="Z55" s="33">
        <f>IF(T55=0,0,X55/T55)</f>
        <v>23.238859999999995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6" t="s">
        <v>294</v>
      </c>
      <c r="C58" s="26"/>
      <c r="D58" s="35">
        <f>SUM(D55:D57)</f>
        <v>5900.59</v>
      </c>
      <c r="E58" s="13"/>
      <c r="F58" s="32">
        <f>IF(D$12=0,0,D58/D$12)</f>
        <v>0</v>
      </c>
      <c r="G58" s="13"/>
      <c r="H58" s="35">
        <f>SUM(H55:H57)</f>
        <v>250</v>
      </c>
      <c r="I58" s="13"/>
      <c r="J58" s="32">
        <f>IF(H$12=0,0,H58/H$12)</f>
        <v>0</v>
      </c>
      <c r="K58" s="15"/>
      <c r="L58" s="35">
        <f>+D58-H58</f>
        <v>5650.59</v>
      </c>
      <c r="M58" s="15"/>
      <c r="N58" s="32">
        <f>IF(H58=0,0,L58/H58)</f>
        <v>22.602360000000001</v>
      </c>
      <c r="O58" s="25"/>
      <c r="P58" s="35">
        <f>SUM(P55:P57)</f>
        <v>12119.429999999998</v>
      </c>
      <c r="Q58" s="13"/>
      <c r="R58" s="32">
        <f>IF(P$12=0,0,P58/P$12)</f>
        <v>0</v>
      </c>
      <c r="S58" s="13"/>
      <c r="T58" s="35">
        <f>SUM(T55:T57)</f>
        <v>500</v>
      </c>
      <c r="U58" s="13"/>
      <c r="V58" s="32">
        <f>IF(T$12=0,0,T58/T$12)</f>
        <v>0</v>
      </c>
      <c r="W58" s="15"/>
      <c r="X58" s="35">
        <f>+P58-T58</f>
        <v>11619.429999999998</v>
      </c>
      <c r="Y58" s="15"/>
      <c r="Z58" s="32">
        <f>IF(T58=0,0,X58/T58)</f>
        <v>23.238859999999995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59">
        <v>44517.962875613426</v>
      </c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A61" s="9"/>
      <c r="B61" s="62" t="s">
        <v>56</v>
      </c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  <row r="62" spans="1:26" x14ac:dyDescent="0.25">
      <c r="A62" s="9"/>
      <c r="B62" s="57"/>
      <c r="D62" s="18"/>
      <c r="E62" s="18"/>
      <c r="G62" s="18"/>
      <c r="H62" s="18"/>
      <c r="I62" s="18"/>
      <c r="J62" s="42"/>
      <c r="K62" s="18"/>
      <c r="L62" s="18"/>
      <c r="M62" s="18"/>
      <c r="P62" s="18"/>
      <c r="Q62" s="18"/>
      <c r="R62" s="42"/>
      <c r="S62" s="18"/>
      <c r="T62" s="18"/>
      <c r="U62" s="18"/>
      <c r="V62" s="42"/>
      <c r="W62" s="18"/>
      <c r="X62" s="18"/>
    </row>
    <row r="63" spans="1:26" x14ac:dyDescent="0.25">
      <c r="D63" s="18"/>
      <c r="E63" s="18"/>
      <c r="G63" s="18"/>
      <c r="H63" s="18"/>
      <c r="I63" s="18"/>
      <c r="J63" s="42"/>
      <c r="K63" s="18"/>
      <c r="L63" s="18"/>
      <c r="M63" s="18"/>
      <c r="P63" s="18"/>
      <c r="Q63" s="18"/>
      <c r="R63" s="42"/>
      <c r="S63" s="18"/>
      <c r="T63" s="18"/>
      <c r="U63" s="18"/>
      <c r="V63" s="42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","424", " - ", "Blair Field")</f>
        <v>Department 424 - Blair Field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479.29</v>
      </c>
      <c r="E18" s="22"/>
      <c r="F18" s="34">
        <f t="shared" ref="F18:F22" si="0">IF(D$12=0,0,D18/D$12)</f>
        <v>0</v>
      </c>
      <c r="G18" s="22"/>
      <c r="H18" s="22">
        <f>SUM(OSRRefH22x_0)</f>
        <v>479</v>
      </c>
      <c r="I18" s="22"/>
      <c r="J18" s="34">
        <f t="shared" ref="J18:J22" si="1">IF(H$12=0,0,H18/H$12)</f>
        <v>0</v>
      </c>
      <c r="K18" s="4"/>
      <c r="L18" s="22">
        <f t="shared" ref="L18:L22" si="2">+D18-H18</f>
        <v>0.29000000000002046</v>
      </c>
      <c r="M18" s="4"/>
      <c r="N18" s="34">
        <f t="shared" ref="N18:N22" si="3">IF(H18=0,0,L18/H18)</f>
        <v>6.054279749478506E-4</v>
      </c>
      <c r="O18" s="10"/>
      <c r="P18" s="22">
        <f>SUM(OSRRefP22x_0)</f>
        <v>1917.16</v>
      </c>
      <c r="Q18" s="22"/>
      <c r="R18" s="34">
        <f t="shared" ref="R18:R22" si="4">IF(P$12=0,0,P18/P$12)</f>
        <v>0</v>
      </c>
      <c r="S18" s="22"/>
      <c r="T18" s="22">
        <f>SUM(OSRRefT22x_0)</f>
        <v>1916</v>
      </c>
      <c r="U18" s="22"/>
      <c r="V18" s="34">
        <f t="shared" ref="V18:V22" si="5">IF(T$12=0,0,T18/T$12)</f>
        <v>0</v>
      </c>
      <c r="W18" s="4"/>
      <c r="X18" s="22">
        <f t="shared" ref="X18:X22" si="6">+P18-T18</f>
        <v>1.1600000000000819</v>
      </c>
      <c r="Y18" s="4"/>
      <c r="Z18" s="34">
        <f t="shared" ref="Z18:Z22" si="7">IF(T18=0,0,X18/T18)</f>
        <v>6.054279749478506E-4</v>
      </c>
    </row>
    <row r="19" spans="1:26" s="28" customFormat="1" outlineLevel="1" collapsed="1" x14ac:dyDescent="0.25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4"/>
      <c r="P19" s="1">
        <f>SUM(OSRRefP22_0x_0)</f>
        <v>1917.16</v>
      </c>
      <c r="Q19" s="1"/>
      <c r="R19" s="5">
        <f t="shared" si="4"/>
        <v>0</v>
      </c>
      <c r="S19" s="1"/>
      <c r="T19" s="1">
        <f>SUM(OSRRefT22_0x_0)</f>
        <v>1916</v>
      </c>
      <c r="U19" s="1"/>
      <c r="V19" s="5">
        <f t="shared" si="5"/>
        <v>0</v>
      </c>
      <c r="W19" s="1"/>
      <c r="X19" s="1">
        <f t="shared" si="6"/>
        <v>1.1600000000000819</v>
      </c>
      <c r="Y19" s="1"/>
      <c r="Z19" s="5">
        <f t="shared" si="7"/>
        <v>6.054279749478506E-4</v>
      </c>
    </row>
    <row r="20" spans="1:26" s="24" customFormat="1" hidden="1" outlineLevel="2" x14ac:dyDescent="0.25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479.29</v>
      </c>
      <c r="E20" s="2"/>
      <c r="F20" s="6">
        <f t="shared" si="0"/>
        <v>0</v>
      </c>
      <c r="G20" s="2"/>
      <c r="H20" s="7">
        <v>479</v>
      </c>
      <c r="I20" s="2"/>
      <c r="J20" s="6">
        <f t="shared" si="1"/>
        <v>0</v>
      </c>
      <c r="K20" s="2"/>
      <c r="L20" s="7">
        <f t="shared" si="2"/>
        <v>0.29000000000002046</v>
      </c>
      <c r="M20" s="2"/>
      <c r="N20" s="6">
        <f t="shared" si="3"/>
        <v>6.054279749478506E-4</v>
      </c>
      <c r="O20" s="11"/>
      <c r="P20" s="7">
        <v>1917.16</v>
      </c>
      <c r="Q20" s="2"/>
      <c r="R20" s="6">
        <f t="shared" si="4"/>
        <v>0</v>
      </c>
      <c r="S20" s="2"/>
      <c r="T20" s="7">
        <v>1916</v>
      </c>
      <c r="U20" s="2"/>
      <c r="V20" s="6">
        <f t="shared" si="5"/>
        <v>0</v>
      </c>
      <c r="W20" s="2"/>
      <c r="X20" s="7">
        <f t="shared" si="6"/>
        <v>1.1600000000000819</v>
      </c>
      <c r="Y20" s="2"/>
      <c r="Z20" s="6">
        <f t="shared" si="7"/>
        <v>6.054279749478506E-4</v>
      </c>
    </row>
    <row r="21" spans="1:26" s="28" customFormat="1" outlineLevel="1" collapsed="1" x14ac:dyDescent="0.25">
      <c r="A21" s="29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0</v>
      </c>
      <c r="Y21" s="1"/>
      <c r="Z21" s="5">
        <f t="shared" si="7"/>
        <v>0</v>
      </c>
    </row>
    <row r="22" spans="1:26" s="24" customFormat="1" hidden="1" outlineLevel="2" x14ac:dyDescent="0.25">
      <c r="A22" s="27"/>
      <c r="B22" s="11" t="str">
        <f>CONCATENATE("          ", "6284", " - ", "TRASH REMOVAL EXPENSE")</f>
        <v xml:space="preserve">          6284 - TRASH REMOVAL EXPENSE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/>
      <c r="Q22" s="2"/>
      <c r="R22" s="6">
        <f t="shared" si="4"/>
        <v>0</v>
      </c>
      <c r="S22" s="2"/>
      <c r="T22" s="7">
        <v>0</v>
      </c>
      <c r="U22" s="2"/>
      <c r="V22" s="6">
        <f t="shared" si="5"/>
        <v>0</v>
      </c>
      <c r="W22" s="2"/>
      <c r="X22" s="7">
        <f t="shared" si="6"/>
        <v>0</v>
      </c>
      <c r="Y22" s="2"/>
      <c r="Z22" s="6">
        <f t="shared" si="7"/>
        <v>0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293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6" t="s">
        <v>277</v>
      </c>
      <c r="C26" s="26"/>
      <c r="D26" s="21">
        <f>+D16-D18+D24</f>
        <v>-479.29</v>
      </c>
      <c r="E26" s="13"/>
      <c r="F26" s="20">
        <f>IF(D$12=0,0,D26/D$12)</f>
        <v>0</v>
      </c>
      <c r="G26" s="13"/>
      <c r="H26" s="21">
        <f>+H16-H18+H24</f>
        <v>-479</v>
      </c>
      <c r="I26" s="13"/>
      <c r="J26" s="20">
        <f>IF(H$12=0,0,H26/H$12)</f>
        <v>0</v>
      </c>
      <c r="K26" s="15"/>
      <c r="L26" s="21">
        <f>+D26-H26</f>
        <v>-0.29000000000002046</v>
      </c>
      <c r="M26" s="15"/>
      <c r="N26" s="20">
        <f>IF(H26=0,0,L26/H26)</f>
        <v>6.054279749478506E-4</v>
      </c>
      <c r="O26" s="25"/>
      <c r="P26" s="21">
        <f>+P16-P18+P24</f>
        <v>-1917.16</v>
      </c>
      <c r="Q26" s="13"/>
      <c r="R26" s="20">
        <f>IF(P$12=0,0,P26/P$12)</f>
        <v>0</v>
      </c>
      <c r="S26" s="13"/>
      <c r="T26" s="21">
        <f>+T16-T18+T24</f>
        <v>-1916</v>
      </c>
      <c r="U26" s="13"/>
      <c r="V26" s="20">
        <f>IF(T$12=0,0,T26/T$12)</f>
        <v>0</v>
      </c>
      <c r="W26" s="15"/>
      <c r="X26" s="21">
        <f>+P26-T26</f>
        <v>-1.1600000000000819</v>
      </c>
      <c r="Y26" s="15"/>
      <c r="Z26" s="20">
        <f>IF(T26=0,0,X26/T26)</f>
        <v>6.054279749478506E-4</v>
      </c>
    </row>
    <row r="27" spans="1:26" x14ac:dyDescent="0.25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128</v>
      </c>
      <c r="C28" s="10"/>
      <c r="D28" s="4"/>
      <c r="E28" s="4"/>
      <c r="F28" s="12">
        <f>IF(D$12=0,0,D28/D$12)</f>
        <v>0</v>
      </c>
      <c r="G28" s="4"/>
      <c r="H28" s="4"/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/>
      <c r="Q28" s="4"/>
      <c r="R28" s="12">
        <f>IF(P$12=0,0,P28/P$12)</f>
        <v>0</v>
      </c>
      <c r="S28" s="4"/>
      <c r="T28" s="4"/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.75" thickBot="1" x14ac:dyDescent="0.3">
      <c r="A30" s="10"/>
      <c r="B30" s="26" t="s">
        <v>126</v>
      </c>
      <c r="C30" s="26"/>
      <c r="D30" s="31">
        <f>+D26-D28</f>
        <v>-479.29</v>
      </c>
      <c r="E30" s="13"/>
      <c r="F30" s="33">
        <f>IF(D$12=0,0,D30/D$12)</f>
        <v>0</v>
      </c>
      <c r="G30" s="13"/>
      <c r="H30" s="31">
        <f>+H26-H28</f>
        <v>-479</v>
      </c>
      <c r="I30" s="13"/>
      <c r="J30" s="33">
        <f>IF(H$12=0,0,H30/H$12)</f>
        <v>0</v>
      </c>
      <c r="K30" s="15"/>
      <c r="L30" s="31">
        <f>D30-H30</f>
        <v>-0.29000000000002046</v>
      </c>
      <c r="M30" s="15"/>
      <c r="N30" s="33">
        <f>IF(H30=0,0,L30/H30)</f>
        <v>6.054279749478506E-4</v>
      </c>
      <c r="O30" s="25"/>
      <c r="P30" s="31">
        <f>+P26-P28</f>
        <v>-1917.16</v>
      </c>
      <c r="Q30" s="13"/>
      <c r="R30" s="33">
        <f>IF(P$12=0,0,P30/P$12)</f>
        <v>0</v>
      </c>
      <c r="S30" s="13"/>
      <c r="T30" s="31">
        <f>+T26-T28</f>
        <v>-1916</v>
      </c>
      <c r="U30" s="13"/>
      <c r="V30" s="33">
        <f>IF(T$12=0,0,T30/T$12)</f>
        <v>0</v>
      </c>
      <c r="W30" s="15"/>
      <c r="X30" s="31">
        <f>P30-T30</f>
        <v>-1.1600000000000819</v>
      </c>
      <c r="Y30" s="15"/>
      <c r="Z30" s="33">
        <f>IF(T30=0,0,X30/T30)</f>
        <v>6.054279749478506E-4</v>
      </c>
    </row>
    <row r="31" spans="1:26" ht="15.75" thickTop="1" x14ac:dyDescent="0.25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6" t="s">
        <v>294</v>
      </c>
      <c r="C33" s="26"/>
      <c r="D33" s="35">
        <f>SUM(D30:D32)</f>
        <v>-479.29</v>
      </c>
      <c r="E33" s="13"/>
      <c r="F33" s="32">
        <f>IF(D$12=0,0,D33/D$12)</f>
        <v>0</v>
      </c>
      <c r="G33" s="13"/>
      <c r="H33" s="35">
        <f>SUM(H30:H32)</f>
        <v>-479</v>
      </c>
      <c r="I33" s="13"/>
      <c r="J33" s="32">
        <f>IF(H$12=0,0,H33/H$12)</f>
        <v>0</v>
      </c>
      <c r="K33" s="15"/>
      <c r="L33" s="35">
        <f>+D33-H33</f>
        <v>-0.29000000000002046</v>
      </c>
      <c r="M33" s="15"/>
      <c r="N33" s="32">
        <f>IF(H33=0,0,L33/H33)</f>
        <v>6.054279749478506E-4</v>
      </c>
      <c r="O33" s="25"/>
      <c r="P33" s="35">
        <f>SUM(P30:P32)</f>
        <v>-1917.16</v>
      </c>
      <c r="Q33" s="13"/>
      <c r="R33" s="32">
        <f>IF(P$12=0,0,P33/P$12)</f>
        <v>0</v>
      </c>
      <c r="S33" s="13"/>
      <c r="T33" s="35">
        <f>SUM(T30:T32)</f>
        <v>-1916</v>
      </c>
      <c r="U33" s="13"/>
      <c r="V33" s="32">
        <f>IF(T$12=0,0,T33/T$12)</f>
        <v>0</v>
      </c>
      <c r="W33" s="15"/>
      <c r="X33" s="35">
        <f>+P33-T33</f>
        <v>-1.1600000000000819</v>
      </c>
      <c r="Y33" s="15"/>
      <c r="Z33" s="32">
        <f>IF(T33=0,0,X33/T33)</f>
        <v>6.054279749478506E-4</v>
      </c>
    </row>
    <row r="34" spans="1:26" ht="15.75" thickTop="1" x14ac:dyDescent="0.25">
      <c r="A34" s="9"/>
      <c r="C34" s="9"/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6" x14ac:dyDescent="0.25">
      <c r="A35" s="9"/>
      <c r="B35" s="59">
        <v>44517.962875613426</v>
      </c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6" x14ac:dyDescent="0.25">
      <c r="A36" s="9"/>
      <c r="B36" s="62" t="s">
        <v>56</v>
      </c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57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</sheetPr>
  <dimension ref="A2:Z4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","425", " - ", "Events Center")</f>
        <v>Department 425 - Events Center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4264.84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4264.84</v>
      </c>
      <c r="M12" s="4"/>
      <c r="N12" s="12">
        <f t="shared" ref="N12:N13" si="1">IF(H12=0,0,L12/H12)</f>
        <v>0</v>
      </c>
      <c r="O12" s="10"/>
      <c r="P12" s="4">
        <f>SUM(OSRRefP13x_0)</f>
        <v>4264.84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4264.84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--4264.84</f>
        <v>4264.84</v>
      </c>
      <c r="E13" s="2"/>
      <c r="F13" s="19"/>
      <c r="G13" s="2"/>
      <c r="H13" s="2"/>
      <c r="I13" s="2"/>
      <c r="J13" s="19"/>
      <c r="K13" s="2"/>
      <c r="L13" s="2">
        <f t="shared" si="0"/>
        <v>4264.84</v>
      </c>
      <c r="M13" s="2"/>
      <c r="N13" s="19">
        <f t="shared" si="1"/>
        <v>0</v>
      </c>
      <c r="O13" s="11"/>
      <c r="P13" s="2">
        <f>--4264.84</f>
        <v>4264.84</v>
      </c>
      <c r="Q13" s="2"/>
      <c r="R13" s="19"/>
      <c r="S13" s="2"/>
      <c r="T13" s="2"/>
      <c r="U13" s="2"/>
      <c r="V13" s="19"/>
      <c r="W13" s="2"/>
      <c r="X13" s="2">
        <f t="shared" si="2"/>
        <v>4264.84</v>
      </c>
      <c r="Y13" s="2"/>
      <c r="Z13" s="19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>
        <f>SUM(OSRRefD16x_0)</f>
        <v>6982.02</v>
      </c>
      <c r="E15" s="4"/>
      <c r="F15" s="12">
        <f t="shared" ref="F15:F16" si="4">IF(D$12=0,0,D15/D$12)</f>
        <v>1.6371118260005064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6982.02</v>
      </c>
      <c r="M15" s="4"/>
      <c r="N15" s="12">
        <f t="shared" ref="N15:N16" si="7">IF(H15=0,0,L15/H15)</f>
        <v>0</v>
      </c>
      <c r="O15" s="10"/>
      <c r="P15" s="4">
        <f>SUM(OSRRefP16x_0)</f>
        <v>5947.29</v>
      </c>
      <c r="Q15" s="4"/>
      <c r="R15" s="12">
        <f t="shared" ref="R15:R16" si="8">IF(P$12=0,0,P15/P$12)</f>
        <v>1.3944931111131953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5947.29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44"/>
      <c r="B16" s="11" t="str">
        <f>CONCATENATE("          ", "5053", " - ", "PURCHASES @ COST-FOOD")</f>
        <v xml:space="preserve">          5053 - PURCHASES @ COST-FOOD</v>
      </c>
      <c r="C16" s="11"/>
      <c r="D16" s="2">
        <v>6982.02</v>
      </c>
      <c r="E16" s="2"/>
      <c r="F16" s="19">
        <f t="shared" si="4"/>
        <v>1.6371118260005064</v>
      </c>
      <c r="G16" s="2"/>
      <c r="H16" s="2"/>
      <c r="I16" s="2"/>
      <c r="J16" s="19">
        <f t="shared" si="5"/>
        <v>0</v>
      </c>
      <c r="K16" s="2"/>
      <c r="L16" s="2">
        <f t="shared" si="6"/>
        <v>6982.02</v>
      </c>
      <c r="M16" s="2"/>
      <c r="N16" s="19">
        <f t="shared" si="7"/>
        <v>0</v>
      </c>
      <c r="O16" s="11"/>
      <c r="P16" s="2">
        <v>5947.29</v>
      </c>
      <c r="Q16" s="2"/>
      <c r="R16" s="19">
        <f t="shared" si="8"/>
        <v>1.3944931111131953</v>
      </c>
      <c r="S16" s="2"/>
      <c r="T16" s="2"/>
      <c r="U16" s="2"/>
      <c r="V16" s="19">
        <f t="shared" si="9"/>
        <v>0</v>
      </c>
      <c r="W16" s="2"/>
      <c r="X16" s="2">
        <f t="shared" si="10"/>
        <v>5947.29</v>
      </c>
      <c r="Y16" s="2"/>
      <c r="Z16" s="19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>
        <f>D12-D15</f>
        <v>-2717.1800000000003</v>
      </c>
      <c r="E18" s="13"/>
      <c r="F18" s="20">
        <f>IF(D$12=0,0,D18/D$12)</f>
        <v>-0.63711182600050653</v>
      </c>
      <c r="G18" s="13"/>
      <c r="H18" s="21">
        <f>H12-H15</f>
        <v>0</v>
      </c>
      <c r="I18" s="13"/>
      <c r="J18" s="20">
        <f>IF(H$12=0,0,H18/H$12)</f>
        <v>0</v>
      </c>
      <c r="K18" s="15"/>
      <c r="L18" s="21">
        <f>+D18-H18</f>
        <v>-2717.1800000000003</v>
      </c>
      <c r="M18" s="15"/>
      <c r="N18" s="20">
        <f>IF(H18=0,0,L18/H18)</f>
        <v>0</v>
      </c>
      <c r="O18" s="25"/>
      <c r="P18" s="21">
        <f>P12-P15</f>
        <v>-1682.4499999999998</v>
      </c>
      <c r="Q18" s="13"/>
      <c r="R18" s="20">
        <f>IF(P$12=0,0,P18/P$12)</f>
        <v>-0.39449311111319529</v>
      </c>
      <c r="S18" s="13"/>
      <c r="T18" s="21">
        <f>T12-T15</f>
        <v>0</v>
      </c>
      <c r="U18" s="13"/>
      <c r="V18" s="20">
        <f>IF(T$12=0,0,T18/T$12)</f>
        <v>0</v>
      </c>
      <c r="W18" s="15"/>
      <c r="X18" s="21">
        <f>+P18-T18</f>
        <v>-1682.4499999999998</v>
      </c>
      <c r="Y18" s="15"/>
      <c r="Z18" s="20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>
        <f>SUM(OSRRefD22x_0)</f>
        <v>4003.12</v>
      </c>
      <c r="E20" s="22"/>
      <c r="F20" s="34">
        <f t="shared" ref="F20:F32" si="12">IF(D$12=0,0,D20/D$12)</f>
        <v>0.93863310229692076</v>
      </c>
      <c r="G20" s="22"/>
      <c r="H20" s="22">
        <f>SUM(OSRRefH22x_0)</f>
        <v>1001</v>
      </c>
      <c r="I20" s="22"/>
      <c r="J20" s="34">
        <f t="shared" ref="J20:J32" si="13">IF(H$12=0,0,H20/H$12)</f>
        <v>0</v>
      </c>
      <c r="K20" s="4"/>
      <c r="L20" s="22">
        <f t="shared" ref="L20:L32" si="14">+D20-H20</f>
        <v>3002.12</v>
      </c>
      <c r="M20" s="4"/>
      <c r="N20" s="34">
        <f t="shared" ref="N20:N32" si="15">IF(H20=0,0,L20/H20)</f>
        <v>2.9991208791208792</v>
      </c>
      <c r="O20" s="10"/>
      <c r="P20" s="22">
        <f>SUM(OSRRefP22x_0)</f>
        <v>7005.85</v>
      </c>
      <c r="Q20" s="22"/>
      <c r="R20" s="34">
        <f t="shared" ref="R20:R32" si="16">IF(P$12=0,0,P20/P$12)</f>
        <v>1.6426993744196734</v>
      </c>
      <c r="S20" s="22"/>
      <c r="T20" s="22">
        <f>SUM(OSRRefT22x_0)</f>
        <v>4004</v>
      </c>
      <c r="U20" s="22"/>
      <c r="V20" s="34">
        <f t="shared" ref="V20:V32" si="17">IF(T$12=0,0,T20/T$12)</f>
        <v>0</v>
      </c>
      <c r="W20" s="4"/>
      <c r="X20" s="22">
        <f t="shared" ref="X20:X32" si="18">+P20-T20</f>
        <v>3001.8500000000004</v>
      </c>
      <c r="Y20" s="4"/>
      <c r="Z20" s="34">
        <f t="shared" ref="Z20:Z32" si="19">IF(T20=0,0,X20/T20)</f>
        <v>0.74971278721278733</v>
      </c>
    </row>
    <row r="21" spans="1:26" s="28" customFormat="1" outlineLevel="1" collapsed="1" x14ac:dyDescent="0.25">
      <c r="A21" s="29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SUM(OSRRefD22_0x_0)</f>
        <v>64.73</v>
      </c>
      <c r="E21" s="1"/>
      <c r="F21" s="5">
        <f t="shared" si="12"/>
        <v>1.5177591656427909E-2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64.73</v>
      </c>
      <c r="M21" s="1"/>
      <c r="N21" s="5">
        <f t="shared" si="15"/>
        <v>0</v>
      </c>
      <c r="O21" s="14"/>
      <c r="P21" s="1">
        <f>SUM(OSRRefP22_0x_0)</f>
        <v>64.73</v>
      </c>
      <c r="Q21" s="1"/>
      <c r="R21" s="5">
        <f t="shared" si="16"/>
        <v>1.5177591656427909E-2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64.73</v>
      </c>
      <c r="Y21" s="1"/>
      <c r="Z21" s="5">
        <f t="shared" si="19"/>
        <v>0</v>
      </c>
    </row>
    <row r="22" spans="1:26" s="24" customFormat="1" hidden="1" outlineLevel="2" x14ac:dyDescent="0.25">
      <c r="A22" s="27"/>
      <c r="B22" s="11" t="str">
        <f>CONCATENATE("          ", "6381", " - ", "BANK/CREDIT CARD FEES")</f>
        <v xml:space="preserve">          6381 - BANK/CREDIT CARD FEES</v>
      </c>
      <c r="C22" s="11"/>
      <c r="D22" s="7">
        <v>64.73</v>
      </c>
      <c r="E22" s="2"/>
      <c r="F22" s="6">
        <f t="shared" si="12"/>
        <v>1.5177591656427909E-2</v>
      </c>
      <c r="G22" s="2"/>
      <c r="H22" s="7"/>
      <c r="I22" s="2"/>
      <c r="J22" s="6">
        <f t="shared" si="13"/>
        <v>0</v>
      </c>
      <c r="K22" s="2"/>
      <c r="L22" s="7">
        <f t="shared" si="14"/>
        <v>64.73</v>
      </c>
      <c r="M22" s="2"/>
      <c r="N22" s="6">
        <f t="shared" si="15"/>
        <v>0</v>
      </c>
      <c r="O22" s="11"/>
      <c r="P22" s="7">
        <v>64.73</v>
      </c>
      <c r="Q22" s="2"/>
      <c r="R22" s="6">
        <f t="shared" si="16"/>
        <v>1.5177591656427909E-2</v>
      </c>
      <c r="S22" s="2"/>
      <c r="T22" s="7"/>
      <c r="U22" s="2"/>
      <c r="V22" s="6">
        <f t="shared" si="17"/>
        <v>0</v>
      </c>
      <c r="W22" s="2"/>
      <c r="X22" s="7">
        <f t="shared" si="18"/>
        <v>64.73</v>
      </c>
      <c r="Y22" s="2"/>
      <c r="Z22" s="6">
        <f t="shared" si="19"/>
        <v>0</v>
      </c>
    </row>
    <row r="23" spans="1:26" s="28" customFormat="1" outlineLevel="1" collapsed="1" x14ac:dyDescent="0.25">
      <c r="A23" s="29"/>
      <c r="B23" s="14" t="str">
        <f>CONCATENATE("     ","Depreciation                                      ")</f>
        <v xml:space="preserve">     Depreciation                                      </v>
      </c>
      <c r="C23" s="14"/>
      <c r="D23" s="1">
        <f>SUM(OSRRefD22_1x_0)</f>
        <v>1000.91</v>
      </c>
      <c r="E23" s="1"/>
      <c r="F23" s="5">
        <f t="shared" si="12"/>
        <v>0.23468875737425082</v>
      </c>
      <c r="G23" s="1"/>
      <c r="H23" s="1">
        <f>SUM(OSRRefH22_1x_0)</f>
        <v>1001</v>
      </c>
      <c r="I23" s="1"/>
      <c r="J23" s="5">
        <f t="shared" si="13"/>
        <v>0</v>
      </c>
      <c r="K23" s="1"/>
      <c r="L23" s="1">
        <f t="shared" si="14"/>
        <v>-9.0000000000031832E-2</v>
      </c>
      <c r="M23" s="1"/>
      <c r="N23" s="5">
        <f t="shared" si="15"/>
        <v>-8.9910089910121704E-5</v>
      </c>
      <c r="O23" s="14"/>
      <c r="P23" s="1">
        <f>SUM(OSRRefP22_1x_0)</f>
        <v>4003.64</v>
      </c>
      <c r="Q23" s="1"/>
      <c r="R23" s="5">
        <f t="shared" si="16"/>
        <v>0.93875502949700329</v>
      </c>
      <c r="S23" s="1"/>
      <c r="T23" s="1">
        <f>SUM(OSRRefT22_1x_0)</f>
        <v>4004</v>
      </c>
      <c r="U23" s="1"/>
      <c r="V23" s="5">
        <f t="shared" si="17"/>
        <v>0</v>
      </c>
      <c r="W23" s="1"/>
      <c r="X23" s="1">
        <f t="shared" si="18"/>
        <v>-0.36000000000012733</v>
      </c>
      <c r="Y23" s="1"/>
      <c r="Z23" s="5">
        <f t="shared" si="19"/>
        <v>-8.9910089910121704E-5</v>
      </c>
    </row>
    <row r="24" spans="1:26" s="24" customFormat="1" hidden="1" outlineLevel="2" x14ac:dyDescent="0.25">
      <c r="A24" s="27"/>
      <c r="B24" s="11" t="str">
        <f>CONCATENATE("          ", "6322", " - ", "EQUIPMENT DEPRECIATION EXPENSE")</f>
        <v xml:space="preserve">          6322 - EQUIPMENT DEPRECIATION EXPENSE</v>
      </c>
      <c r="C24" s="11"/>
      <c r="D24" s="7">
        <v>1000.91</v>
      </c>
      <c r="E24" s="2"/>
      <c r="F24" s="6">
        <f t="shared" si="12"/>
        <v>0.23468875737425082</v>
      </c>
      <c r="G24" s="2"/>
      <c r="H24" s="7">
        <v>1001</v>
      </c>
      <c r="I24" s="2"/>
      <c r="J24" s="6">
        <f t="shared" si="13"/>
        <v>0</v>
      </c>
      <c r="K24" s="2"/>
      <c r="L24" s="7">
        <f t="shared" si="14"/>
        <v>-9.0000000000031832E-2</v>
      </c>
      <c r="M24" s="2"/>
      <c r="N24" s="6">
        <f t="shared" si="15"/>
        <v>-8.9910089910121704E-5</v>
      </c>
      <c r="O24" s="11"/>
      <c r="P24" s="7">
        <v>4003.64</v>
      </c>
      <c r="Q24" s="2"/>
      <c r="R24" s="6">
        <f t="shared" si="16"/>
        <v>0.93875502949700329</v>
      </c>
      <c r="S24" s="2"/>
      <c r="T24" s="7">
        <v>4004</v>
      </c>
      <c r="U24" s="2"/>
      <c r="V24" s="6">
        <f t="shared" si="17"/>
        <v>0</v>
      </c>
      <c r="W24" s="2"/>
      <c r="X24" s="7">
        <f t="shared" si="18"/>
        <v>-0.36000000000012733</v>
      </c>
      <c r="Y24" s="2"/>
      <c r="Z24" s="6">
        <f t="shared" si="19"/>
        <v>-8.9910089910121704E-5</v>
      </c>
    </row>
    <row r="25" spans="1:26" s="28" customFormat="1" outlineLevel="1" collapsed="1" x14ac:dyDescent="0.25">
      <c r="A25" s="29"/>
      <c r="B25" s="14" t="str">
        <f>CONCATENATE("     ","General                                           ")</f>
        <v xml:space="preserve">     General                                           </v>
      </c>
      <c r="C25" s="14"/>
      <c r="D25" s="1">
        <f>SUM(OSRRefD22_2x_0)</f>
        <v>1755</v>
      </c>
      <c r="E25" s="1"/>
      <c r="F25" s="5">
        <f t="shared" si="12"/>
        <v>0.41150430027855672</v>
      </c>
      <c r="G25" s="1"/>
      <c r="H25" s="1">
        <f>SUM(OSRRefH22_2x_0)</f>
        <v>0</v>
      </c>
      <c r="I25" s="1"/>
      <c r="J25" s="5">
        <f t="shared" si="13"/>
        <v>0</v>
      </c>
      <c r="K25" s="1"/>
      <c r="L25" s="1">
        <f t="shared" si="14"/>
        <v>1755</v>
      </c>
      <c r="M25" s="1"/>
      <c r="N25" s="5">
        <f t="shared" si="15"/>
        <v>0</v>
      </c>
      <c r="O25" s="14"/>
      <c r="P25" s="1">
        <f>SUM(OSRRefP22_2x_0)</f>
        <v>1755</v>
      </c>
      <c r="Q25" s="1"/>
      <c r="R25" s="5">
        <f t="shared" si="16"/>
        <v>0.41150430027855672</v>
      </c>
      <c r="S25" s="1"/>
      <c r="T25" s="1">
        <f>SUM(OSRRefT22_2x_0)</f>
        <v>0</v>
      </c>
      <c r="U25" s="1"/>
      <c r="V25" s="5">
        <f t="shared" si="17"/>
        <v>0</v>
      </c>
      <c r="W25" s="1"/>
      <c r="X25" s="1">
        <f t="shared" si="18"/>
        <v>1755</v>
      </c>
      <c r="Y25" s="1"/>
      <c r="Z25" s="5">
        <f t="shared" si="19"/>
        <v>0</v>
      </c>
    </row>
    <row r="26" spans="1:26" s="24" customFormat="1" hidden="1" outlineLevel="2" x14ac:dyDescent="0.25">
      <c r="A26" s="27"/>
      <c r="B26" s="11" t="str">
        <f>CONCATENATE("          ", "6279", " - ", "GENERAL EXPENSE")</f>
        <v xml:space="preserve">          6279 - GENERAL EXPENSE</v>
      </c>
      <c r="C26" s="11"/>
      <c r="D26" s="7">
        <v>1755</v>
      </c>
      <c r="E26" s="2"/>
      <c r="F26" s="6">
        <f t="shared" si="12"/>
        <v>0.41150430027855672</v>
      </c>
      <c r="G26" s="2"/>
      <c r="H26" s="7"/>
      <c r="I26" s="2"/>
      <c r="J26" s="6">
        <f t="shared" si="13"/>
        <v>0</v>
      </c>
      <c r="K26" s="2"/>
      <c r="L26" s="7">
        <f t="shared" si="14"/>
        <v>1755</v>
      </c>
      <c r="M26" s="2"/>
      <c r="N26" s="6">
        <f t="shared" si="15"/>
        <v>0</v>
      </c>
      <c r="O26" s="11"/>
      <c r="P26" s="7">
        <v>1755</v>
      </c>
      <c r="Q26" s="2"/>
      <c r="R26" s="6">
        <f t="shared" si="16"/>
        <v>0.41150430027855672</v>
      </c>
      <c r="S26" s="2"/>
      <c r="T26" s="7"/>
      <c r="U26" s="2"/>
      <c r="V26" s="6">
        <f t="shared" si="17"/>
        <v>0</v>
      </c>
      <c r="W26" s="2"/>
      <c r="X26" s="7">
        <f t="shared" si="18"/>
        <v>1755</v>
      </c>
      <c r="Y26" s="2"/>
      <c r="Z26" s="6">
        <f t="shared" si="19"/>
        <v>0</v>
      </c>
    </row>
    <row r="27" spans="1:26" s="28" customFormat="1" outlineLevel="1" collapsed="1" x14ac:dyDescent="0.25">
      <c r="A27" s="29"/>
      <c r="B27" s="14" t="str">
        <f>CONCATENATE("     ","Royalty &amp; Commissions                             ")</f>
        <v xml:space="preserve">     Royalty &amp; Commissions                             </v>
      </c>
      <c r="C27" s="14"/>
      <c r="D27" s="1">
        <f>SUM(OSRRefD22_3x_0)</f>
        <v>1066.22</v>
      </c>
      <c r="E27" s="1"/>
      <c r="F27" s="5">
        <f t="shared" si="12"/>
        <v>0.25000234475384775</v>
      </c>
      <c r="G27" s="1"/>
      <c r="H27" s="1">
        <f>SUM(OSRRefH22_3x_0)</f>
        <v>0</v>
      </c>
      <c r="I27" s="1"/>
      <c r="J27" s="5">
        <f t="shared" si="13"/>
        <v>0</v>
      </c>
      <c r="K27" s="1"/>
      <c r="L27" s="1">
        <f t="shared" si="14"/>
        <v>1066.22</v>
      </c>
      <c r="M27" s="1"/>
      <c r="N27" s="5">
        <f t="shared" si="15"/>
        <v>0</v>
      </c>
      <c r="O27" s="14"/>
      <c r="P27" s="1">
        <f>SUM(OSRRefP22_3x_0)</f>
        <v>1066.22</v>
      </c>
      <c r="Q27" s="1"/>
      <c r="R27" s="5">
        <f t="shared" si="16"/>
        <v>0.25000234475384775</v>
      </c>
      <c r="S27" s="1"/>
      <c r="T27" s="1">
        <f>SUM(OSRRefT22_3x_0)</f>
        <v>0</v>
      </c>
      <c r="U27" s="1"/>
      <c r="V27" s="5">
        <f t="shared" si="17"/>
        <v>0</v>
      </c>
      <c r="W27" s="1"/>
      <c r="X27" s="1">
        <f t="shared" si="18"/>
        <v>1066.22</v>
      </c>
      <c r="Y27" s="1"/>
      <c r="Z27" s="5">
        <f t="shared" si="19"/>
        <v>0</v>
      </c>
    </row>
    <row r="28" spans="1:26" s="24" customFormat="1" hidden="1" outlineLevel="2" x14ac:dyDescent="0.25">
      <c r="A28" s="27"/>
      <c r="B28" s="11" t="str">
        <f>CONCATENATE("          ", "6254", " - ", "ROYALTY &amp; COMMISSIONS")</f>
        <v xml:space="preserve">          6254 - ROYALTY &amp; COMMISSIONS</v>
      </c>
      <c r="C28" s="11"/>
      <c r="D28" s="7">
        <v>1066.22</v>
      </c>
      <c r="E28" s="2"/>
      <c r="F28" s="6">
        <f t="shared" si="12"/>
        <v>0.25000234475384775</v>
      </c>
      <c r="G28" s="2"/>
      <c r="H28" s="7"/>
      <c r="I28" s="2"/>
      <c r="J28" s="6">
        <f t="shared" si="13"/>
        <v>0</v>
      </c>
      <c r="K28" s="2"/>
      <c r="L28" s="7">
        <f t="shared" si="14"/>
        <v>1066.22</v>
      </c>
      <c r="M28" s="2"/>
      <c r="N28" s="6">
        <f t="shared" si="15"/>
        <v>0</v>
      </c>
      <c r="O28" s="11"/>
      <c r="P28" s="7">
        <v>1066.22</v>
      </c>
      <c r="Q28" s="2"/>
      <c r="R28" s="6">
        <f t="shared" si="16"/>
        <v>0.25000234475384775</v>
      </c>
      <c r="S28" s="2"/>
      <c r="T28" s="7"/>
      <c r="U28" s="2"/>
      <c r="V28" s="6">
        <f t="shared" si="17"/>
        <v>0</v>
      </c>
      <c r="W28" s="2"/>
      <c r="X28" s="7">
        <f t="shared" si="18"/>
        <v>1066.22</v>
      </c>
      <c r="Y28" s="2"/>
      <c r="Z28" s="6">
        <f t="shared" si="19"/>
        <v>0</v>
      </c>
    </row>
    <row r="29" spans="1:26" s="28" customFormat="1" outlineLevel="1" collapsed="1" x14ac:dyDescent="0.25">
      <c r="A29" s="29"/>
      <c r="B29" s="14" t="str">
        <f>CONCATENATE("     ","Services                                          ")</f>
        <v xml:space="preserve">     Services                                          </v>
      </c>
      <c r="C29" s="14"/>
      <c r="D29" s="1">
        <f>SUM(OSRRefD22_4x_0)</f>
        <v>0</v>
      </c>
      <c r="E29" s="1"/>
      <c r="F29" s="5">
        <f t="shared" si="12"/>
        <v>0</v>
      </c>
      <c r="G29" s="1"/>
      <c r="H29" s="1">
        <f>SUM(OSRRefH22_4x_0)</f>
        <v>0</v>
      </c>
      <c r="I29" s="1"/>
      <c r="J29" s="5">
        <f t="shared" si="13"/>
        <v>0</v>
      </c>
      <c r="K29" s="1"/>
      <c r="L29" s="1">
        <f t="shared" si="14"/>
        <v>0</v>
      </c>
      <c r="M29" s="1"/>
      <c r="N29" s="5">
        <f t="shared" si="15"/>
        <v>0</v>
      </c>
      <c r="O29" s="14"/>
      <c r="P29" s="1">
        <f>SUM(OSRRefP22_4x_0)</f>
        <v>0</v>
      </c>
      <c r="Q29" s="1"/>
      <c r="R29" s="5">
        <f t="shared" si="16"/>
        <v>0</v>
      </c>
      <c r="S29" s="1"/>
      <c r="T29" s="1">
        <f>SUM(OSRRefT22_4x_0)</f>
        <v>0</v>
      </c>
      <c r="U29" s="1"/>
      <c r="V29" s="5">
        <f t="shared" si="17"/>
        <v>0</v>
      </c>
      <c r="W29" s="1"/>
      <c r="X29" s="1">
        <f t="shared" si="18"/>
        <v>0</v>
      </c>
      <c r="Y29" s="1"/>
      <c r="Z29" s="5">
        <f t="shared" si="19"/>
        <v>0</v>
      </c>
    </row>
    <row r="30" spans="1:26" s="24" customFormat="1" hidden="1" outlineLevel="2" x14ac:dyDescent="0.25">
      <c r="A30" s="27"/>
      <c r="B30" s="11" t="str">
        <f>CONCATENATE("          ", "6284", " - ", "TRASH REMOVAL EXPENSE")</f>
        <v xml:space="preserve">          6284 - TRASH REMOVAL EXPENSE</v>
      </c>
      <c r="C30" s="11"/>
      <c r="D30" s="7"/>
      <c r="E30" s="2"/>
      <c r="F30" s="6">
        <f t="shared" si="12"/>
        <v>0</v>
      </c>
      <c r="G30" s="2"/>
      <c r="H30" s="7"/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/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0</v>
      </c>
      <c r="Y30" s="2"/>
      <c r="Z30" s="6">
        <f t="shared" si="19"/>
        <v>0</v>
      </c>
    </row>
    <row r="31" spans="1:26" s="28" customFormat="1" outlineLevel="1" collapsed="1" x14ac:dyDescent="0.25">
      <c r="A31" s="29"/>
      <c r="B31" s="14" t="str">
        <f>CONCATENATE("     ","Supplies                                          ")</f>
        <v xml:space="preserve">     Supplies                                          </v>
      </c>
      <c r="C31" s="14"/>
      <c r="D31" s="1">
        <f>SUM(OSRRefD22_5x_0)</f>
        <v>116.26</v>
      </c>
      <c r="E31" s="1"/>
      <c r="F31" s="5">
        <f t="shared" si="12"/>
        <v>2.7260108233837611E-2</v>
      </c>
      <c r="G31" s="1"/>
      <c r="H31" s="1">
        <f>SUM(OSRRefH22_5x_0)</f>
        <v>0</v>
      </c>
      <c r="I31" s="1"/>
      <c r="J31" s="5">
        <f t="shared" si="13"/>
        <v>0</v>
      </c>
      <c r="K31" s="1"/>
      <c r="L31" s="1">
        <f t="shared" si="14"/>
        <v>116.26</v>
      </c>
      <c r="M31" s="1"/>
      <c r="N31" s="5">
        <f t="shared" si="15"/>
        <v>0</v>
      </c>
      <c r="O31" s="14"/>
      <c r="P31" s="1">
        <f>SUM(OSRRefP22_5x_0)</f>
        <v>116.26</v>
      </c>
      <c r="Q31" s="1"/>
      <c r="R31" s="5">
        <f t="shared" si="16"/>
        <v>2.7260108233837611E-2</v>
      </c>
      <c r="S31" s="1"/>
      <c r="T31" s="1">
        <f>SUM(OSRRefT22_5x_0)</f>
        <v>0</v>
      </c>
      <c r="U31" s="1"/>
      <c r="V31" s="5">
        <f t="shared" si="17"/>
        <v>0</v>
      </c>
      <c r="W31" s="1"/>
      <c r="X31" s="1">
        <f t="shared" si="18"/>
        <v>116.26</v>
      </c>
      <c r="Y31" s="1"/>
      <c r="Z31" s="5">
        <f t="shared" si="19"/>
        <v>0</v>
      </c>
    </row>
    <row r="32" spans="1:26" s="24" customFormat="1" hidden="1" outlineLevel="2" x14ac:dyDescent="0.25">
      <c r="A32" s="27"/>
      <c r="B32" s="11" t="str">
        <f>CONCATENATE("          ", "6243", " - ", "PAPER SUPPLIES")</f>
        <v xml:space="preserve">          6243 - PAPER SUPPLIES</v>
      </c>
      <c r="C32" s="11"/>
      <c r="D32" s="7">
        <v>116.26</v>
      </c>
      <c r="E32" s="2"/>
      <c r="F32" s="6">
        <f t="shared" si="12"/>
        <v>2.7260108233837611E-2</v>
      </c>
      <c r="G32" s="2"/>
      <c r="H32" s="7"/>
      <c r="I32" s="2"/>
      <c r="J32" s="6">
        <f t="shared" si="13"/>
        <v>0</v>
      </c>
      <c r="K32" s="2"/>
      <c r="L32" s="7">
        <f t="shared" si="14"/>
        <v>116.26</v>
      </c>
      <c r="M32" s="2"/>
      <c r="N32" s="6">
        <f t="shared" si="15"/>
        <v>0</v>
      </c>
      <c r="O32" s="11"/>
      <c r="P32" s="7">
        <v>116.26</v>
      </c>
      <c r="Q32" s="2"/>
      <c r="R32" s="6">
        <f t="shared" si="16"/>
        <v>2.7260108233837611E-2</v>
      </c>
      <c r="S32" s="2"/>
      <c r="T32" s="7"/>
      <c r="U32" s="2"/>
      <c r="V32" s="6">
        <f t="shared" si="17"/>
        <v>0</v>
      </c>
      <c r="W32" s="2"/>
      <c r="X32" s="7">
        <f t="shared" si="18"/>
        <v>116.26</v>
      </c>
      <c r="Y32" s="2"/>
      <c r="Z32" s="6">
        <f t="shared" si="19"/>
        <v>0</v>
      </c>
    </row>
    <row r="33" spans="1:26" s="60" customFormat="1" x14ac:dyDescent="0.25">
      <c r="A33" s="36"/>
      <c r="B33" s="36"/>
      <c r="C33" s="36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25">
      <c r="A34" s="10"/>
      <c r="B34" s="25" t="s">
        <v>293</v>
      </c>
      <c r="C34" s="10"/>
      <c r="D34" s="4">
        <f>SUM(0)</f>
        <v>0</v>
      </c>
      <c r="E34" s="4"/>
      <c r="F34" s="12">
        <f>IF(D$12=0,0,D34/D$12)</f>
        <v>0</v>
      </c>
      <c r="G34" s="4"/>
      <c r="H34" s="4">
        <f>SUM(0)</f>
        <v>0</v>
      </c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>
        <f>SUM(0)</f>
        <v>0</v>
      </c>
      <c r="Q34" s="4"/>
      <c r="R34" s="12">
        <f>IF(P$12=0,0,P34/P$12)</f>
        <v>0</v>
      </c>
      <c r="S34" s="4"/>
      <c r="T34" s="4">
        <f>SUM(0)</f>
        <v>0</v>
      </c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10"/>
      <c r="B36" s="26" t="s">
        <v>277</v>
      </c>
      <c r="C36" s="26"/>
      <c r="D36" s="21">
        <f>+D18-D20+D34</f>
        <v>-6720.3</v>
      </c>
      <c r="E36" s="13"/>
      <c r="F36" s="20">
        <f>IF(D$12=0,0,D36/D$12)</f>
        <v>-1.5757449282974274</v>
      </c>
      <c r="G36" s="13"/>
      <c r="H36" s="21">
        <f>+H18-H20+H34</f>
        <v>-1001</v>
      </c>
      <c r="I36" s="13"/>
      <c r="J36" s="20">
        <f>IF(H$12=0,0,H36/H$12)</f>
        <v>0</v>
      </c>
      <c r="K36" s="15"/>
      <c r="L36" s="21">
        <f>+D36-H36</f>
        <v>-5719.3</v>
      </c>
      <c r="M36" s="15"/>
      <c r="N36" s="20">
        <f>IF(H36=0,0,L36/H36)</f>
        <v>5.7135864135864134</v>
      </c>
      <c r="O36" s="25"/>
      <c r="P36" s="21">
        <f>+P18-P20+P34</f>
        <v>-8688.2999999999993</v>
      </c>
      <c r="Q36" s="13"/>
      <c r="R36" s="20">
        <f>IF(P$12=0,0,P36/P$12)</f>
        <v>-2.0371924855328687</v>
      </c>
      <c r="S36" s="13"/>
      <c r="T36" s="21">
        <f>+T18-T20+T34</f>
        <v>-4004</v>
      </c>
      <c r="U36" s="13"/>
      <c r="V36" s="20">
        <f>IF(T$12=0,0,T36/T$12)</f>
        <v>0</v>
      </c>
      <c r="W36" s="15"/>
      <c r="X36" s="21">
        <f>+P36-T36</f>
        <v>-4684.2999999999993</v>
      </c>
      <c r="Y36" s="15"/>
      <c r="Z36" s="20">
        <f>IF(T36=0,0,X36/T36)</f>
        <v>1.1699050949050946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25">
      <c r="A38" s="52"/>
      <c r="B38" s="10" t="s">
        <v>128</v>
      </c>
      <c r="C38" s="10"/>
      <c r="D38" s="4">
        <v>492.98</v>
      </c>
      <c r="E38" s="4"/>
      <c r="F38" s="12">
        <f>IF(D$12=0,0,D38/D$12)</f>
        <v>0.11559167518593898</v>
      </c>
      <c r="G38" s="4"/>
      <c r="H38" s="4"/>
      <c r="I38" s="4"/>
      <c r="J38" s="12">
        <f>IF(H$12=0,0,H38/H$12)</f>
        <v>0</v>
      </c>
      <c r="K38" s="4"/>
      <c r="L38" s="4">
        <f>+D38-H38</f>
        <v>492.98</v>
      </c>
      <c r="M38" s="4"/>
      <c r="N38" s="12">
        <f>IF(H38=0,0,L38/H38)</f>
        <v>0</v>
      </c>
      <c r="O38" s="10"/>
      <c r="P38" s="4">
        <v>492.98</v>
      </c>
      <c r="Q38" s="4"/>
      <c r="R38" s="12">
        <f>IF(P$12=0,0,P38/P$12)</f>
        <v>0.11559167518593898</v>
      </c>
      <c r="S38" s="4"/>
      <c r="T38" s="4"/>
      <c r="U38" s="4"/>
      <c r="V38" s="12">
        <f>IF(T$12=0,0,T38/T$12)</f>
        <v>0</v>
      </c>
      <c r="W38" s="4"/>
      <c r="X38" s="4">
        <f>+P38-T38</f>
        <v>492.98</v>
      </c>
      <c r="Y38" s="4"/>
      <c r="Z38" s="12">
        <f>IF(T38=0,0,X38/T38)</f>
        <v>0</v>
      </c>
    </row>
    <row r="39" spans="1:26" x14ac:dyDescent="0.25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6" t="s">
        <v>126</v>
      </c>
      <c r="C40" s="26"/>
      <c r="D40" s="31">
        <f>+D36-D38</f>
        <v>-7213.2800000000007</v>
      </c>
      <c r="E40" s="13"/>
      <c r="F40" s="33">
        <f>IF(D$12=0,0,D40/D$12)</f>
        <v>-1.6913366034833663</v>
      </c>
      <c r="G40" s="13"/>
      <c r="H40" s="31">
        <f>+H36-H38</f>
        <v>-1001</v>
      </c>
      <c r="I40" s="13"/>
      <c r="J40" s="33">
        <f>IF(H$12=0,0,H40/H$12)</f>
        <v>0</v>
      </c>
      <c r="K40" s="15"/>
      <c r="L40" s="31">
        <f>D40-H40</f>
        <v>-6212.2800000000007</v>
      </c>
      <c r="M40" s="15"/>
      <c r="N40" s="33">
        <f>IF(H40=0,0,L40/H40)</f>
        <v>6.2060739260739268</v>
      </c>
      <c r="O40" s="25"/>
      <c r="P40" s="31">
        <f>+P36-P38</f>
        <v>-9181.2799999999988</v>
      </c>
      <c r="Q40" s="13"/>
      <c r="R40" s="33">
        <f>IF(P$12=0,0,P40/P$12)</f>
        <v>-2.1527841607188072</v>
      </c>
      <c r="S40" s="13"/>
      <c r="T40" s="31">
        <f>+T36-T38</f>
        <v>-4004</v>
      </c>
      <c r="U40" s="13"/>
      <c r="V40" s="33">
        <f>IF(T$12=0,0,T40/T$12)</f>
        <v>0</v>
      </c>
      <c r="W40" s="15"/>
      <c r="X40" s="31">
        <f>P40-T40</f>
        <v>-5177.2799999999988</v>
      </c>
      <c r="Y40" s="15"/>
      <c r="Z40" s="33">
        <f>IF(T40=0,0,X40/T40)</f>
        <v>1.2930269730269728</v>
      </c>
    </row>
    <row r="41" spans="1:26" ht="15.75" thickTop="1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x14ac:dyDescent="0.2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ht="15.75" thickBot="1" x14ac:dyDescent="0.3">
      <c r="A43" s="10"/>
      <c r="B43" s="26" t="s">
        <v>294</v>
      </c>
      <c r="C43" s="26"/>
      <c r="D43" s="35">
        <f>SUM(D40:D42)</f>
        <v>-7213.2800000000007</v>
      </c>
      <c r="E43" s="13"/>
      <c r="F43" s="32">
        <f>IF(D$12=0,0,D43/D$12)</f>
        <v>-1.6913366034833663</v>
      </c>
      <c r="G43" s="13"/>
      <c r="H43" s="35">
        <f>SUM(H40:H42)</f>
        <v>-1001</v>
      </c>
      <c r="I43" s="13"/>
      <c r="J43" s="32">
        <f>IF(H$12=0,0,H43/H$12)</f>
        <v>0</v>
      </c>
      <c r="K43" s="15"/>
      <c r="L43" s="35">
        <f>+D43-H43</f>
        <v>-6212.2800000000007</v>
      </c>
      <c r="M43" s="15"/>
      <c r="N43" s="32">
        <f>IF(H43=0,0,L43/H43)</f>
        <v>6.2060739260739268</v>
      </c>
      <c r="O43" s="25"/>
      <c r="P43" s="35">
        <f>SUM(P40:P42)</f>
        <v>-9181.2799999999988</v>
      </c>
      <c r="Q43" s="13"/>
      <c r="R43" s="32">
        <f>IF(P$12=0,0,P43/P$12)</f>
        <v>-2.1527841607188072</v>
      </c>
      <c r="S43" s="13"/>
      <c r="T43" s="35">
        <f>SUM(T40:T42)</f>
        <v>-4004</v>
      </c>
      <c r="U43" s="13"/>
      <c r="V43" s="32">
        <f>IF(T$12=0,0,T43/T$12)</f>
        <v>0</v>
      </c>
      <c r="W43" s="15"/>
      <c r="X43" s="35">
        <f>+P43-T43</f>
        <v>-5177.2799999999988</v>
      </c>
      <c r="Y43" s="15"/>
      <c r="Z43" s="32">
        <f>IF(T43=0,0,X43/T43)</f>
        <v>1.2930269730269728</v>
      </c>
    </row>
    <row r="44" spans="1:26" ht="15.75" thickTop="1" x14ac:dyDescent="0.25">
      <c r="A44" s="9"/>
      <c r="C44" s="9"/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  <row r="45" spans="1:26" x14ac:dyDescent="0.25">
      <c r="A45" s="9"/>
      <c r="B45" s="59">
        <v>44517.962875613426</v>
      </c>
      <c r="D45" s="18"/>
      <c r="E45" s="18"/>
      <c r="G45" s="18"/>
      <c r="H45" s="18"/>
      <c r="I45" s="18"/>
      <c r="J45" s="42"/>
      <c r="K45" s="18"/>
      <c r="L45" s="18"/>
      <c r="M45" s="18"/>
      <c r="P45" s="18"/>
      <c r="Q45" s="18"/>
      <c r="R45" s="42"/>
      <c r="S45" s="18"/>
      <c r="T45" s="18"/>
      <c r="U45" s="18"/>
      <c r="V45" s="42"/>
      <c r="W45" s="18"/>
      <c r="X45" s="18"/>
    </row>
    <row r="46" spans="1:26" x14ac:dyDescent="0.25">
      <c r="A46" s="9"/>
      <c r="B46" s="62" t="s">
        <v>56</v>
      </c>
      <c r="D46" s="18"/>
      <c r="E46" s="18"/>
      <c r="G46" s="18"/>
      <c r="H46" s="18"/>
      <c r="I46" s="18"/>
      <c r="J46" s="42"/>
      <c r="K46" s="18"/>
      <c r="L46" s="18"/>
      <c r="M46" s="18"/>
      <c r="P46" s="18"/>
      <c r="Q46" s="18"/>
      <c r="R46" s="42"/>
      <c r="S46" s="18"/>
      <c r="T46" s="18"/>
      <c r="U46" s="18"/>
      <c r="V46" s="42"/>
      <c r="W46" s="18"/>
      <c r="X46" s="18"/>
    </row>
    <row r="47" spans="1:26" x14ac:dyDescent="0.25">
      <c r="A47" s="9"/>
      <c r="B47" s="57"/>
      <c r="D47" s="18"/>
      <c r="E47" s="18"/>
      <c r="G47" s="18"/>
      <c r="H47" s="18"/>
      <c r="I47" s="18"/>
      <c r="J47" s="42"/>
      <c r="K47" s="18"/>
      <c r="L47" s="18"/>
      <c r="M47" s="18"/>
      <c r="P47" s="18"/>
      <c r="Q47" s="18"/>
      <c r="R47" s="42"/>
      <c r="S47" s="18"/>
      <c r="T47" s="18"/>
      <c r="U47" s="18"/>
      <c r="V47" s="42"/>
      <c r="W47" s="18"/>
      <c r="X47" s="18"/>
    </row>
    <row r="48" spans="1:26" x14ac:dyDescent="0.25">
      <c r="D48" s="18"/>
      <c r="E48" s="18"/>
      <c r="G48" s="18"/>
      <c r="H48" s="18"/>
      <c r="I48" s="18"/>
      <c r="J48" s="42"/>
      <c r="K48" s="18"/>
      <c r="L48" s="18"/>
      <c r="M48" s="18"/>
      <c r="P48" s="18"/>
      <c r="Q48" s="18"/>
      <c r="R48" s="42"/>
      <c r="S48" s="18"/>
      <c r="T48" s="18"/>
      <c r="U48" s="18"/>
      <c r="V48" s="42"/>
      <c r="W48" s="18"/>
      <c r="X48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</sheetPr>
  <dimension ref="A2:Z10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183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1610098.55</v>
      </c>
      <c r="E12" s="4"/>
      <c r="F12" s="12"/>
      <c r="G12" s="4"/>
      <c r="H12" s="4">
        <f>SUM(OSRRefH13x_0)</f>
        <v>1411200</v>
      </c>
      <c r="I12" s="4"/>
      <c r="J12" s="12"/>
      <c r="K12" s="4"/>
      <c r="L12" s="4">
        <f t="shared" ref="L12:L16" si="0">+D12-H12</f>
        <v>198898.55000000005</v>
      </c>
      <c r="M12" s="4"/>
      <c r="N12" s="12">
        <f t="shared" ref="N12:N16" si="1">IF(H12=0,0,L12/H12)</f>
        <v>0.14094285005668938</v>
      </c>
      <c r="O12" s="10"/>
      <c r="P12" s="4">
        <f>SUM(OSRRefP13x_0)</f>
        <v>3542904.12</v>
      </c>
      <c r="Q12" s="4"/>
      <c r="R12" s="12"/>
      <c r="S12" s="4"/>
      <c r="T12" s="4">
        <f>SUM(OSRRefT13x_0)</f>
        <v>2822400</v>
      </c>
      <c r="U12" s="4"/>
      <c r="V12" s="12"/>
      <c r="W12" s="4"/>
      <c r="X12" s="4">
        <f t="shared" ref="X12:X16" si="2">+P12-T12</f>
        <v>720504.12000000011</v>
      </c>
      <c r="Y12" s="4"/>
      <c r="Z12" s="12">
        <f t="shared" ref="Z12:Z16" si="3">IF(T12=0,0,X12/T12)</f>
        <v>0.25528065476190481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--645.73</f>
        <v>645.73</v>
      </c>
      <c r="E13" s="2"/>
      <c r="F13" s="19"/>
      <c r="G13" s="2"/>
      <c r="H13" s="2"/>
      <c r="I13" s="2"/>
      <c r="J13" s="19"/>
      <c r="K13" s="2"/>
      <c r="L13" s="2">
        <f t="shared" si="0"/>
        <v>645.73</v>
      </c>
      <c r="M13" s="2"/>
      <c r="N13" s="19">
        <f t="shared" si="1"/>
        <v>0</v>
      </c>
      <c r="O13" s="11"/>
      <c r="P13" s="2">
        <f>--1780.66</f>
        <v>1780.66</v>
      </c>
      <c r="Q13" s="2"/>
      <c r="R13" s="19"/>
      <c r="S13" s="2"/>
      <c r="T13" s="2"/>
      <c r="U13" s="2"/>
      <c r="V13" s="19"/>
      <c r="W13" s="2"/>
      <c r="X13" s="2">
        <f t="shared" si="2"/>
        <v>1780.66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1411200</v>
      </c>
      <c r="I14" s="2"/>
      <c r="J14" s="19"/>
      <c r="K14" s="2"/>
      <c r="L14" s="2">
        <f t="shared" si="0"/>
        <v>-1411200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2822400</v>
      </c>
      <c r="U14" s="2"/>
      <c r="V14" s="19"/>
      <c r="W14" s="2"/>
      <c r="X14" s="2">
        <f t="shared" si="2"/>
        <v>-2822400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--1597325.45</f>
        <v>1597325.45</v>
      </c>
      <c r="E15" s="2"/>
      <c r="F15" s="19"/>
      <c r="G15" s="2"/>
      <c r="H15" s="2"/>
      <c r="I15" s="2"/>
      <c r="J15" s="19"/>
      <c r="K15" s="2"/>
      <c r="L15" s="2">
        <f t="shared" si="0"/>
        <v>1597325.45</v>
      </c>
      <c r="M15" s="2"/>
      <c r="N15" s="19">
        <f t="shared" si="1"/>
        <v>0</v>
      </c>
      <c r="O15" s="11"/>
      <c r="P15" s="2">
        <f>--3496718.76</f>
        <v>3496718.76</v>
      </c>
      <c r="Q15" s="2"/>
      <c r="R15" s="19"/>
      <c r="S15" s="2"/>
      <c r="T15" s="2"/>
      <c r="U15" s="2"/>
      <c r="V15" s="19"/>
      <c r="W15" s="2"/>
      <c r="X15" s="2">
        <f t="shared" si="2"/>
        <v>3496718.76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--12127.37</f>
        <v>12127.37</v>
      </c>
      <c r="E16" s="2"/>
      <c r="F16" s="19"/>
      <c r="G16" s="2"/>
      <c r="H16" s="2"/>
      <c r="I16" s="2"/>
      <c r="J16" s="19"/>
      <c r="K16" s="2"/>
      <c r="L16" s="2">
        <f t="shared" si="0"/>
        <v>12127.37</v>
      </c>
      <c r="M16" s="2"/>
      <c r="N16" s="19">
        <f t="shared" si="1"/>
        <v>0</v>
      </c>
      <c r="O16" s="11"/>
      <c r="P16" s="2">
        <f>--44404.7</f>
        <v>44404.7</v>
      </c>
      <c r="Q16" s="2"/>
      <c r="R16" s="19"/>
      <c r="S16" s="2"/>
      <c r="T16" s="2"/>
      <c r="U16" s="2"/>
      <c r="V16" s="19"/>
      <c r="W16" s="2"/>
      <c r="X16" s="2">
        <f t="shared" si="2"/>
        <v>44404.7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257</v>
      </c>
      <c r="C18" s="10"/>
      <c r="D18" s="4">
        <f>SUM(OSRRefD16x_0)</f>
        <v>446975.07</v>
      </c>
      <c r="E18" s="4"/>
      <c r="F18" s="12">
        <f t="shared" ref="F18:F21" si="4">IF(D$12=0,0,D18/D$12)</f>
        <v>0.2776072744118675</v>
      </c>
      <c r="G18" s="4"/>
      <c r="H18" s="4">
        <f>SUM(OSRRefH16x_0)</f>
        <v>369558</v>
      </c>
      <c r="I18" s="4"/>
      <c r="J18" s="12">
        <f t="shared" ref="J18:J21" si="5">IF(H$12=0,0,H18/H$12)</f>
        <v>0.26187500000000002</v>
      </c>
      <c r="K18" s="4"/>
      <c r="L18" s="4">
        <f t="shared" ref="L18:L21" si="6">+D18-H18</f>
        <v>77417.070000000007</v>
      </c>
      <c r="M18" s="4"/>
      <c r="N18" s="12">
        <f t="shared" ref="N18:N21" si="7">IF(H18=0,0,L18/H18)</f>
        <v>0.20948557465945808</v>
      </c>
      <c r="O18" s="10"/>
      <c r="P18" s="4">
        <f>SUM(OSRRefP16x_0)</f>
        <v>996208.1399999999</v>
      </c>
      <c r="Q18" s="4"/>
      <c r="R18" s="12">
        <f t="shared" ref="R18:R21" si="8">IF(P$12=0,0,P18/P$12)</f>
        <v>0.28118405304177407</v>
      </c>
      <c r="S18" s="4"/>
      <c r="T18" s="4">
        <f>SUM(OSRRefT16x_0)</f>
        <v>819304</v>
      </c>
      <c r="U18" s="4"/>
      <c r="V18" s="12">
        <f t="shared" ref="V18:V21" si="9">IF(T$12=0,0,T18/T$12)</f>
        <v>0.29028628117913829</v>
      </c>
      <c r="W18" s="4"/>
      <c r="X18" s="4">
        <f t="shared" ref="X18:X21" si="10">+P18-T18</f>
        <v>176904.1399999999</v>
      </c>
      <c r="Y18" s="4"/>
      <c r="Z18" s="12">
        <f t="shared" ref="Z18:Z21" si="11">IF(T18=0,0,X18/T18)</f>
        <v>0.21592002480153874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369558</v>
      </c>
      <c r="I19" s="2"/>
      <c r="J19" s="19">
        <f t="shared" si="5"/>
        <v>0.26187500000000002</v>
      </c>
      <c r="K19" s="2"/>
      <c r="L19" s="2">
        <f t="shared" si="6"/>
        <v>-369558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819304</v>
      </c>
      <c r="U19" s="2"/>
      <c r="V19" s="19">
        <f t="shared" si="9"/>
        <v>0.29028628117913829</v>
      </c>
      <c r="W19" s="2"/>
      <c r="X19" s="2">
        <f t="shared" si="10"/>
        <v>-819304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444320.13</v>
      </c>
      <c r="E20" s="2"/>
      <c r="F20" s="19">
        <f t="shared" si="4"/>
        <v>0.27595834428892568</v>
      </c>
      <c r="G20" s="2"/>
      <c r="H20" s="2"/>
      <c r="I20" s="2"/>
      <c r="J20" s="19">
        <f t="shared" si="5"/>
        <v>0</v>
      </c>
      <c r="K20" s="2"/>
      <c r="L20" s="2">
        <f t="shared" si="6"/>
        <v>444320.13</v>
      </c>
      <c r="M20" s="2"/>
      <c r="N20" s="19">
        <f t="shared" si="7"/>
        <v>0</v>
      </c>
      <c r="O20" s="11"/>
      <c r="P20" s="2">
        <v>1052733.2</v>
      </c>
      <c r="Q20" s="2"/>
      <c r="R20" s="19">
        <f t="shared" si="8"/>
        <v>0.29713849552327143</v>
      </c>
      <c r="S20" s="2"/>
      <c r="T20" s="2"/>
      <c r="U20" s="2"/>
      <c r="V20" s="19">
        <f t="shared" si="9"/>
        <v>0</v>
      </c>
      <c r="W20" s="2"/>
      <c r="X20" s="2">
        <f t="shared" si="10"/>
        <v>1052733.2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2654.94</v>
      </c>
      <c r="E21" s="2"/>
      <c r="F21" s="19">
        <f t="shared" si="4"/>
        <v>1.6489301229418534E-3</v>
      </c>
      <c r="G21" s="2"/>
      <c r="H21" s="2"/>
      <c r="I21" s="2"/>
      <c r="J21" s="19">
        <f t="shared" si="5"/>
        <v>0</v>
      </c>
      <c r="K21" s="2"/>
      <c r="L21" s="2">
        <f t="shared" si="6"/>
        <v>2654.94</v>
      </c>
      <c r="M21" s="2"/>
      <c r="N21" s="19">
        <f t="shared" si="7"/>
        <v>0</v>
      </c>
      <c r="O21" s="11"/>
      <c r="P21" s="2">
        <v>-56525.06</v>
      </c>
      <c r="Q21" s="2"/>
      <c r="R21" s="19">
        <f t="shared" si="8"/>
        <v>-1.5954442481497352E-2</v>
      </c>
      <c r="S21" s="2"/>
      <c r="T21" s="2"/>
      <c r="U21" s="2"/>
      <c r="V21" s="19">
        <f t="shared" si="9"/>
        <v>0</v>
      </c>
      <c r="W21" s="2"/>
      <c r="X21" s="2">
        <f t="shared" si="10"/>
        <v>-56525.06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108</v>
      </c>
      <c r="C23" s="26"/>
      <c r="D23" s="21">
        <f>D12-D18</f>
        <v>1163123.48</v>
      </c>
      <c r="E23" s="13"/>
      <c r="F23" s="20">
        <f>IF(D$12=0,0,D23/D$12)</f>
        <v>0.7223927255881325</v>
      </c>
      <c r="G23" s="13"/>
      <c r="H23" s="21">
        <f>H12-H18</f>
        <v>1041642</v>
      </c>
      <c r="I23" s="13"/>
      <c r="J23" s="20">
        <f>IF(H$12=0,0,H23/H$12)</f>
        <v>0.73812500000000003</v>
      </c>
      <c r="K23" s="15"/>
      <c r="L23" s="21">
        <f>+D23-H23</f>
        <v>121481.47999999998</v>
      </c>
      <c r="M23" s="15"/>
      <c r="N23" s="20">
        <f>IF(H23=0,0,L23/H23)</f>
        <v>0.1166249824795851</v>
      </c>
      <c r="O23" s="25"/>
      <c r="P23" s="21">
        <f>P12-P18</f>
        <v>2546695.9800000004</v>
      </c>
      <c r="Q23" s="13"/>
      <c r="R23" s="20">
        <f>IF(P$12=0,0,P23/P$12)</f>
        <v>0.71881594695822604</v>
      </c>
      <c r="S23" s="13"/>
      <c r="T23" s="21">
        <f>T12-T18</f>
        <v>2003096</v>
      </c>
      <c r="U23" s="13"/>
      <c r="V23" s="20">
        <f>IF(T$12=0,0,T23/T$12)</f>
        <v>0.70971371882086165</v>
      </c>
      <c r="W23" s="15"/>
      <c r="X23" s="21">
        <f>+P23-T23</f>
        <v>543599.98000000045</v>
      </c>
      <c r="Y23" s="15"/>
      <c r="Z23" s="20">
        <f>IF(T23=0,0,X23/T23)</f>
        <v>0.27137989392420553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295</v>
      </c>
      <c r="C25" s="10"/>
      <c r="D25" s="22">
        <f>SUM(OSRRefD22x_0)</f>
        <v>751485.87000000011</v>
      </c>
      <c r="E25" s="22"/>
      <c r="F25" s="34">
        <f t="shared" ref="F25:F36" si="12">IF(D$12=0,0,D25/D$12)</f>
        <v>0.46673284066990811</v>
      </c>
      <c r="G25" s="22"/>
      <c r="H25" s="22">
        <f>SUM(OSRRefH22x_0)</f>
        <v>663995.54040633258</v>
      </c>
      <c r="I25" s="22"/>
      <c r="J25" s="34">
        <f t="shared" ref="J25:J36" si="13">IF(H$12=0,0,H25/H$12)</f>
        <v>0.47051838180720845</v>
      </c>
      <c r="K25" s="4"/>
      <c r="L25" s="22">
        <f t="shared" ref="L25:L36" si="14">+D25-H25</f>
        <v>87490.329593667528</v>
      </c>
      <c r="M25" s="4"/>
      <c r="N25" s="34">
        <f t="shared" ref="N25:N36" si="15">IF(H25=0,0,L25/H25)</f>
        <v>0.13176342952563772</v>
      </c>
      <c r="O25" s="10"/>
      <c r="P25" s="22">
        <f>SUM(OSRRefP22x_0)</f>
        <v>1759376.66</v>
      </c>
      <c r="Q25" s="22"/>
      <c r="R25" s="34">
        <f t="shared" ref="R25:R36" si="16">IF(P$12=0,0,P25/P$12)</f>
        <v>0.49659166616114914</v>
      </c>
      <c r="S25" s="22"/>
      <c r="T25" s="22">
        <f>SUM(OSRRefT22x_0)</f>
        <v>1975938.0699627965</v>
      </c>
      <c r="U25" s="22"/>
      <c r="V25" s="34">
        <f t="shared" ref="V25:V36" si="17">IF(T$12=0,0,T25/T$12)</f>
        <v>0.70009143635303162</v>
      </c>
      <c r="W25" s="4"/>
      <c r="X25" s="22">
        <f t="shared" ref="X25:X36" si="18">+P25-T25</f>
        <v>-216561.40996279661</v>
      </c>
      <c r="Y25" s="4"/>
      <c r="Z25" s="34">
        <f t="shared" ref="Z25:Z36" si="19">IF(T25=0,0,X25/T25)</f>
        <v>-0.10959929020795378</v>
      </c>
    </row>
    <row r="26" spans="1:26" s="28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106577.24000000002</v>
      </c>
      <c r="E26" s="1"/>
      <c r="F26" s="5">
        <f t="shared" si="12"/>
        <v>6.6192991727121314E-2</v>
      </c>
      <c r="G26" s="1"/>
      <c r="H26" s="1">
        <f>SUM(OSRRefH22_0x_0)</f>
        <v>130309.11296402503</v>
      </c>
      <c r="I26" s="1"/>
      <c r="J26" s="5">
        <f t="shared" si="13"/>
        <v>9.2339224039133388E-2</v>
      </c>
      <c r="K26" s="1"/>
      <c r="L26" s="1">
        <f t="shared" si="14"/>
        <v>-23731.872964025009</v>
      </c>
      <c r="M26" s="1"/>
      <c r="N26" s="5">
        <f t="shared" si="15"/>
        <v>-0.18211982588337292</v>
      </c>
      <c r="O26" s="14"/>
      <c r="P26" s="1">
        <f>SUM(OSRRefP22_0x_0)</f>
        <v>337435.38999999996</v>
      </c>
      <c r="Q26" s="1"/>
      <c r="R26" s="5">
        <f t="shared" si="16"/>
        <v>9.5242597194529766E-2</v>
      </c>
      <c r="S26" s="1"/>
      <c r="T26" s="1">
        <f>SUM(OSRRefT22_0x_0)</f>
        <v>459536.93617048964</v>
      </c>
      <c r="U26" s="1"/>
      <c r="V26" s="5">
        <f t="shared" si="17"/>
        <v>0.1628177920105193</v>
      </c>
      <c r="W26" s="1"/>
      <c r="X26" s="1">
        <f t="shared" si="18"/>
        <v>-122101.54617048969</v>
      </c>
      <c r="Y26" s="1"/>
      <c r="Z26" s="5">
        <f t="shared" si="19"/>
        <v>-0.26570561920008456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7">
        <v>19505.12</v>
      </c>
      <c r="E27" s="2"/>
      <c r="F27" s="6">
        <f t="shared" si="12"/>
        <v>1.211423983954274E-2</v>
      </c>
      <c r="G27" s="2"/>
      <c r="H27" s="7">
        <v>14510.7779621019</v>
      </c>
      <c r="I27" s="2"/>
      <c r="J27" s="6">
        <f t="shared" si="13"/>
        <v>1.0282580755457696E-2</v>
      </c>
      <c r="K27" s="2"/>
      <c r="L27" s="7">
        <f t="shared" si="14"/>
        <v>4994.3420378980991</v>
      </c>
      <c r="M27" s="2"/>
      <c r="N27" s="6">
        <f t="shared" si="15"/>
        <v>0.34418154911762316</v>
      </c>
      <c r="O27" s="11"/>
      <c r="P27" s="7">
        <v>49559.34</v>
      </c>
      <c r="Q27" s="2"/>
      <c r="R27" s="6">
        <f t="shared" si="16"/>
        <v>1.3988337906248503E-2</v>
      </c>
      <c r="S27" s="2"/>
      <c r="T27" s="7">
        <v>53666.085163566902</v>
      </c>
      <c r="U27" s="2"/>
      <c r="V27" s="6">
        <f t="shared" si="17"/>
        <v>1.9014344233123193E-2</v>
      </c>
      <c r="W27" s="2"/>
      <c r="X27" s="7">
        <f t="shared" si="18"/>
        <v>-4106.7451635669058</v>
      </c>
      <c r="Y27" s="2"/>
      <c r="Z27" s="6">
        <f t="shared" si="19"/>
        <v>-7.6524030978784963E-2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12766.42</v>
      </c>
      <c r="E28" s="2"/>
      <c r="F28" s="6">
        <f t="shared" si="12"/>
        <v>7.928968074656052E-3</v>
      </c>
      <c r="G28" s="2"/>
      <c r="H28" s="7">
        <v>13728.9534403654</v>
      </c>
      <c r="I28" s="2"/>
      <c r="J28" s="6">
        <f t="shared" si="13"/>
        <v>9.7285667803042805E-3</v>
      </c>
      <c r="K28" s="2"/>
      <c r="L28" s="7">
        <f t="shared" si="14"/>
        <v>-962.53344036539966</v>
      </c>
      <c r="M28" s="2"/>
      <c r="N28" s="6">
        <f t="shared" si="15"/>
        <v>-7.0109746132242801E-2</v>
      </c>
      <c r="O28" s="11"/>
      <c r="P28" s="7">
        <v>28024.3</v>
      </c>
      <c r="Q28" s="2"/>
      <c r="R28" s="6">
        <f t="shared" si="16"/>
        <v>7.9099797936388969E-3</v>
      </c>
      <c r="S28" s="2"/>
      <c r="T28" s="7">
        <v>39545.351035315398</v>
      </c>
      <c r="U28" s="2"/>
      <c r="V28" s="6">
        <f t="shared" si="17"/>
        <v>1.4011249658204153E-2</v>
      </c>
      <c r="W28" s="2"/>
      <c r="X28" s="7">
        <f t="shared" si="18"/>
        <v>-11521.051035315399</v>
      </c>
      <c r="Y28" s="2"/>
      <c r="Z28" s="6">
        <f t="shared" si="19"/>
        <v>-0.29133768530785559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7">
        <v>42320.72</v>
      </c>
      <c r="E29" s="2"/>
      <c r="F29" s="6">
        <f t="shared" si="12"/>
        <v>2.6284552582200638E-2</v>
      </c>
      <c r="G29" s="2"/>
      <c r="H29" s="7">
        <v>73881.615384615405</v>
      </c>
      <c r="I29" s="2"/>
      <c r="J29" s="6">
        <f t="shared" si="13"/>
        <v>5.2353752398395272E-2</v>
      </c>
      <c r="K29" s="2"/>
      <c r="L29" s="7">
        <f t="shared" si="14"/>
        <v>-31560.895384615404</v>
      </c>
      <c r="M29" s="2"/>
      <c r="N29" s="6">
        <f t="shared" si="15"/>
        <v>-0.42718198864920087</v>
      </c>
      <c r="O29" s="11"/>
      <c r="P29" s="7">
        <v>169780.77</v>
      </c>
      <c r="Q29" s="2"/>
      <c r="R29" s="6">
        <f t="shared" si="16"/>
        <v>4.7921356110534538E-2</v>
      </c>
      <c r="S29" s="2"/>
      <c r="T29" s="7">
        <v>271536.61538461503</v>
      </c>
      <c r="U29" s="2"/>
      <c r="V29" s="6">
        <f t="shared" si="17"/>
        <v>9.6207701029129469E-2</v>
      </c>
      <c r="W29" s="2"/>
      <c r="X29" s="7">
        <f t="shared" si="18"/>
        <v>-101755.84538461504</v>
      </c>
      <c r="Y29" s="2"/>
      <c r="Z29" s="6">
        <f t="shared" si="19"/>
        <v>-0.37474078860592741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922</v>
      </c>
      <c r="E30" s="2"/>
      <c r="F30" s="6">
        <f t="shared" si="12"/>
        <v>5.7263575574302583E-4</v>
      </c>
      <c r="G30" s="2"/>
      <c r="H30" s="7">
        <v>760.70718271153896</v>
      </c>
      <c r="I30" s="2"/>
      <c r="J30" s="6">
        <f t="shared" si="13"/>
        <v>5.3904987437042155E-4</v>
      </c>
      <c r="K30" s="2"/>
      <c r="L30" s="7">
        <f t="shared" si="14"/>
        <v>161.29281728846104</v>
      </c>
      <c r="M30" s="2"/>
      <c r="N30" s="6">
        <f t="shared" si="15"/>
        <v>0.21203009640783615</v>
      </c>
      <c r="O30" s="11"/>
      <c r="P30" s="7">
        <v>2023.97</v>
      </c>
      <c r="Q30" s="2"/>
      <c r="R30" s="6">
        <f t="shared" si="16"/>
        <v>5.712742799260399E-4</v>
      </c>
      <c r="S30" s="2"/>
      <c r="T30" s="7">
        <v>2191.1672077615399</v>
      </c>
      <c r="U30" s="2"/>
      <c r="V30" s="6">
        <f t="shared" si="17"/>
        <v>7.7634892565247302E-4</v>
      </c>
      <c r="W30" s="2"/>
      <c r="X30" s="7">
        <f t="shared" si="18"/>
        <v>-167.19720776153986</v>
      </c>
      <c r="Y30" s="2"/>
      <c r="Z30" s="6">
        <f t="shared" si="19"/>
        <v>-7.6305088525099707E-2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7">
        <v>5901.82</v>
      </c>
      <c r="E31" s="2"/>
      <c r="F31" s="6">
        <f t="shared" si="12"/>
        <v>3.6655023383506554E-3</v>
      </c>
      <c r="G31" s="2"/>
      <c r="H31" s="7">
        <v>4789.9708596153896</v>
      </c>
      <c r="I31" s="2"/>
      <c r="J31" s="6">
        <f t="shared" si="13"/>
        <v>3.3942537270517216E-3</v>
      </c>
      <c r="K31" s="2"/>
      <c r="L31" s="7">
        <f t="shared" si="14"/>
        <v>1111.8491403846101</v>
      </c>
      <c r="M31" s="2"/>
      <c r="N31" s="6">
        <f t="shared" si="15"/>
        <v>0.23212023057565864</v>
      </c>
      <c r="O31" s="11"/>
      <c r="P31" s="7">
        <v>17305.810000000001</v>
      </c>
      <c r="Q31" s="2"/>
      <c r="R31" s="6">
        <f t="shared" si="16"/>
        <v>4.8846396667375806E-3</v>
      </c>
      <c r="S31" s="2"/>
      <c r="T31" s="7">
        <v>17243.8950946154</v>
      </c>
      <c r="U31" s="2"/>
      <c r="V31" s="6">
        <f t="shared" si="17"/>
        <v>6.1096567086930979E-3</v>
      </c>
      <c r="W31" s="2"/>
      <c r="X31" s="7">
        <f t="shared" si="18"/>
        <v>61.914905384601298</v>
      </c>
      <c r="Y31" s="2"/>
      <c r="Z31" s="6">
        <f t="shared" si="19"/>
        <v>3.5905405968246072E-3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7">
        <v>1868.11</v>
      </c>
      <c r="E33" s="2"/>
      <c r="F33" s="6">
        <f t="shared" si="12"/>
        <v>1.1602457501747329E-3</v>
      </c>
      <c r="G33" s="2"/>
      <c r="H33" s="7"/>
      <c r="I33" s="2"/>
      <c r="J33" s="6">
        <f t="shared" si="13"/>
        <v>0</v>
      </c>
      <c r="K33" s="2"/>
      <c r="L33" s="7">
        <f t="shared" si="14"/>
        <v>1868.11</v>
      </c>
      <c r="M33" s="2"/>
      <c r="N33" s="6">
        <f t="shared" si="15"/>
        <v>0</v>
      </c>
      <c r="O33" s="11"/>
      <c r="P33" s="7">
        <v>6485.41</v>
      </c>
      <c r="Q33" s="2"/>
      <c r="R33" s="6">
        <f t="shared" si="16"/>
        <v>1.8305350018899184E-3</v>
      </c>
      <c r="S33" s="2"/>
      <c r="T33" s="7"/>
      <c r="U33" s="2"/>
      <c r="V33" s="6">
        <f t="shared" si="17"/>
        <v>0</v>
      </c>
      <c r="W33" s="2"/>
      <c r="X33" s="7">
        <f t="shared" si="18"/>
        <v>6485.41</v>
      </c>
      <c r="Y33" s="2"/>
      <c r="Z33" s="6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7">
        <v>10096.67</v>
      </c>
      <c r="E34" s="2"/>
      <c r="F34" s="6">
        <f t="shared" si="12"/>
        <v>6.2708397569825767E-3</v>
      </c>
      <c r="G34" s="2"/>
      <c r="H34" s="7">
        <v>7091.5040673076901</v>
      </c>
      <c r="I34" s="2"/>
      <c r="J34" s="6">
        <f t="shared" si="13"/>
        <v>5.0251587778540885E-3</v>
      </c>
      <c r="K34" s="2"/>
      <c r="L34" s="7">
        <f t="shared" si="14"/>
        <v>3005.16593269231</v>
      </c>
      <c r="M34" s="2"/>
      <c r="N34" s="6">
        <f t="shared" si="15"/>
        <v>0.42376989481629529</v>
      </c>
      <c r="O34" s="11"/>
      <c r="P34" s="7">
        <v>29989.61</v>
      </c>
      <c r="Q34" s="2"/>
      <c r="R34" s="6">
        <f t="shared" si="16"/>
        <v>8.4646970350414109E-3</v>
      </c>
      <c r="S34" s="2"/>
      <c r="T34" s="7">
        <v>25529.4146423077</v>
      </c>
      <c r="U34" s="2"/>
      <c r="V34" s="6">
        <f t="shared" si="17"/>
        <v>9.0452858001373662E-3</v>
      </c>
      <c r="W34" s="2"/>
      <c r="X34" s="7">
        <f t="shared" si="18"/>
        <v>4460.1953576923006</v>
      </c>
      <c r="Y34" s="2"/>
      <c r="Z34" s="6">
        <f t="shared" si="19"/>
        <v>0.17470809339673629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7">
        <v>7690.77</v>
      </c>
      <c r="E35" s="2"/>
      <c r="F35" s="6">
        <f t="shared" si="12"/>
        <v>4.7765833960908789E-3</v>
      </c>
      <c r="G35" s="2"/>
      <c r="H35" s="7">
        <v>11345.5840673077</v>
      </c>
      <c r="I35" s="2"/>
      <c r="J35" s="6">
        <f t="shared" si="13"/>
        <v>8.0396712495094252E-3</v>
      </c>
      <c r="K35" s="2"/>
      <c r="L35" s="7">
        <f t="shared" si="14"/>
        <v>-3654.8140673076996</v>
      </c>
      <c r="M35" s="2"/>
      <c r="N35" s="6">
        <f t="shared" si="15"/>
        <v>-0.3221353828613413</v>
      </c>
      <c r="O35" s="11"/>
      <c r="P35" s="7">
        <v>21254.04</v>
      </c>
      <c r="Q35" s="2"/>
      <c r="R35" s="6">
        <f t="shared" si="16"/>
        <v>5.9990446481515284E-3</v>
      </c>
      <c r="S35" s="2"/>
      <c r="T35" s="7">
        <v>33024.407642307699</v>
      </c>
      <c r="U35" s="2"/>
      <c r="V35" s="6">
        <f t="shared" si="17"/>
        <v>1.170082470319859E-2</v>
      </c>
      <c r="W35" s="2"/>
      <c r="X35" s="7">
        <f t="shared" si="18"/>
        <v>-11770.367642307698</v>
      </c>
      <c r="Y35" s="2"/>
      <c r="Z35" s="6">
        <f t="shared" si="19"/>
        <v>-0.3564141943072624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7">
        <v>5505.61</v>
      </c>
      <c r="E36" s="2"/>
      <c r="F36" s="6">
        <f t="shared" si="12"/>
        <v>3.4194242333800001E-3</v>
      </c>
      <c r="G36" s="2"/>
      <c r="H36" s="7">
        <v>4200</v>
      </c>
      <c r="I36" s="2"/>
      <c r="J36" s="6">
        <f t="shared" si="13"/>
        <v>2.976190476190476E-3</v>
      </c>
      <c r="K36" s="2"/>
      <c r="L36" s="7">
        <f t="shared" si="14"/>
        <v>1305.6099999999997</v>
      </c>
      <c r="M36" s="2"/>
      <c r="N36" s="6">
        <f t="shared" si="15"/>
        <v>0.31085952380952375</v>
      </c>
      <c r="O36" s="11"/>
      <c r="P36" s="7">
        <v>13012.14</v>
      </c>
      <c r="Q36" s="2"/>
      <c r="R36" s="6">
        <f t="shared" si="16"/>
        <v>3.6727327523613591E-3</v>
      </c>
      <c r="S36" s="2"/>
      <c r="T36" s="7">
        <v>16800</v>
      </c>
      <c r="U36" s="2"/>
      <c r="V36" s="6">
        <f t="shared" si="17"/>
        <v>5.9523809523809521E-3</v>
      </c>
      <c r="W36" s="2"/>
      <c r="X36" s="7">
        <f t="shared" si="18"/>
        <v>-3787.8600000000006</v>
      </c>
      <c r="Y36" s="2"/>
      <c r="Z36" s="6">
        <f t="shared" si="19"/>
        <v>-0.22546785714285716</v>
      </c>
    </row>
    <row r="37" spans="1:26" s="28" customFormat="1" outlineLevel="1" collapsed="1" x14ac:dyDescent="0.25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389551.13999999996</v>
      </c>
      <c r="E37" s="1"/>
      <c r="F37" s="5">
        <f t="shared" ref="F37:F47" si="20">IF(D$12=0,0,D37/D$12)</f>
        <v>0.24194242023260001</v>
      </c>
      <c r="G37" s="1"/>
      <c r="H37" s="1">
        <f>SUM(OSRRefH22_1x_0)</f>
        <v>345094.42744230758</v>
      </c>
      <c r="I37" s="1"/>
      <c r="J37" s="5">
        <f t="shared" ref="J37:J47" si="21">IF(H$12=0,0,H37/H$12)</f>
        <v>0.24453970198576216</v>
      </c>
      <c r="K37" s="1"/>
      <c r="L37" s="1">
        <f t="shared" ref="L37:L47" si="22">+D37-H37</f>
        <v>44456.712557692372</v>
      </c>
      <c r="M37" s="1"/>
      <c r="N37" s="5">
        <f t="shared" ref="N37:N47" si="23">IF(H37=0,0,L37/H37)</f>
        <v>0.12882477670586143</v>
      </c>
      <c r="O37" s="14"/>
      <c r="P37" s="1">
        <f>SUM(OSRRefP22_1x_0)</f>
        <v>857523.41999999993</v>
      </c>
      <c r="Q37" s="1"/>
      <c r="R37" s="5">
        <f t="shared" ref="R37:R47" si="24">IF(P$12=0,0,P37/P$12)</f>
        <v>0.24203969143822043</v>
      </c>
      <c r="S37" s="1"/>
      <c r="T37" s="1">
        <f>SUM(OSRRefT22_1x_0)</f>
        <v>988318.133792307</v>
      </c>
      <c r="U37" s="1"/>
      <c r="V37" s="5">
        <f t="shared" ref="V37:V47" si="25">IF(T$12=0,0,T37/T$12)</f>
        <v>0.35016940681416775</v>
      </c>
      <c r="W37" s="1"/>
      <c r="X37" s="1">
        <f t="shared" ref="X37:X47" si="26">+P37-T37</f>
        <v>-130794.71379230707</v>
      </c>
      <c r="Y37" s="1"/>
      <c r="Z37" s="5">
        <f t="shared" ref="Z37:Z47" si="27">IF(T37=0,0,X37/T37)</f>
        <v>-0.13234070014523613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>
        <v>11199.31</v>
      </c>
      <c r="E38" s="2"/>
      <c r="F38" s="6">
        <f t="shared" si="20"/>
        <v>6.9556674030915684E-3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11199.31</v>
      </c>
      <c r="M38" s="2"/>
      <c r="N38" s="6">
        <f t="shared" si="23"/>
        <v>0</v>
      </c>
      <c r="O38" s="11"/>
      <c r="P38" s="7">
        <v>38973.949999999997</v>
      </c>
      <c r="Q38" s="2"/>
      <c r="R38" s="6">
        <f t="shared" si="24"/>
        <v>1.1000565829594055E-2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38973.949999999997</v>
      </c>
      <c r="Y38" s="2"/>
      <c r="Z38" s="6">
        <f t="shared" si="27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7">
        <v>47299.56</v>
      </c>
      <c r="E39" s="2"/>
      <c r="F39" s="6">
        <f t="shared" si="20"/>
        <v>2.937681050641279E-2</v>
      </c>
      <c r="G39" s="2"/>
      <c r="H39" s="7">
        <v>52467.470442307596</v>
      </c>
      <c r="I39" s="2"/>
      <c r="J39" s="6">
        <f t="shared" si="21"/>
        <v>3.717932996195266E-2</v>
      </c>
      <c r="K39" s="2"/>
      <c r="L39" s="7">
        <f t="shared" si="22"/>
        <v>-5167.9104423075987</v>
      </c>
      <c r="M39" s="2"/>
      <c r="N39" s="6">
        <f t="shared" si="23"/>
        <v>-9.8497419424672883E-2</v>
      </c>
      <c r="O39" s="11"/>
      <c r="P39" s="7">
        <v>154928.46</v>
      </c>
      <c r="Q39" s="2"/>
      <c r="R39" s="6">
        <f t="shared" si="24"/>
        <v>4.3729227422615091E-2</v>
      </c>
      <c r="S39" s="2"/>
      <c r="T39" s="7">
        <v>188882.89359230699</v>
      </c>
      <c r="U39" s="2"/>
      <c r="V39" s="6">
        <f t="shared" si="25"/>
        <v>6.6922793931514665E-2</v>
      </c>
      <c r="W39" s="2"/>
      <c r="X39" s="7">
        <f t="shared" si="26"/>
        <v>-33954.433592307003</v>
      </c>
      <c r="Y39" s="2"/>
      <c r="Z39" s="6">
        <f t="shared" si="27"/>
        <v>-0.17976447176627716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7">
        <v>132784.60999999999</v>
      </c>
      <c r="E41" s="2"/>
      <c r="F41" s="6">
        <f t="shared" si="20"/>
        <v>8.2469864965719009E-2</v>
      </c>
      <c r="G41" s="2"/>
      <c r="H41" s="7">
        <v>124648.432</v>
      </c>
      <c r="I41" s="2"/>
      <c r="J41" s="6">
        <f t="shared" si="21"/>
        <v>8.8327970521541954E-2</v>
      </c>
      <c r="K41" s="2"/>
      <c r="L41" s="7">
        <f t="shared" si="22"/>
        <v>8136.1779999999853</v>
      </c>
      <c r="M41" s="2"/>
      <c r="N41" s="6">
        <f t="shared" si="23"/>
        <v>6.5273007204775635E-2</v>
      </c>
      <c r="O41" s="11"/>
      <c r="P41" s="7">
        <v>311797.07</v>
      </c>
      <c r="Q41" s="2"/>
      <c r="R41" s="6">
        <f t="shared" si="24"/>
        <v>8.8006070567893321E-2</v>
      </c>
      <c r="S41" s="2"/>
      <c r="T41" s="7">
        <v>423234.35519999999</v>
      </c>
      <c r="U41" s="2"/>
      <c r="V41" s="6">
        <f t="shared" si="25"/>
        <v>0.14995548299319728</v>
      </c>
      <c r="W41" s="2"/>
      <c r="X41" s="7">
        <f t="shared" si="26"/>
        <v>-111437.28519999998</v>
      </c>
      <c r="Y41" s="2"/>
      <c r="Z41" s="6">
        <f t="shared" si="27"/>
        <v>-0.26329924267924831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7">
        <v>125531.29</v>
      </c>
      <c r="E42" s="2"/>
      <c r="F42" s="6">
        <f t="shared" si="20"/>
        <v>7.7964973013608385E-2</v>
      </c>
      <c r="G42" s="2"/>
      <c r="H42" s="7">
        <v>33157.025000000001</v>
      </c>
      <c r="I42" s="2"/>
      <c r="J42" s="6">
        <f t="shared" si="21"/>
        <v>2.3495624291383219E-2</v>
      </c>
      <c r="K42" s="2"/>
      <c r="L42" s="7">
        <f t="shared" si="22"/>
        <v>92374.264999999985</v>
      </c>
      <c r="M42" s="2"/>
      <c r="N42" s="6">
        <f t="shared" si="23"/>
        <v>2.7859636080136858</v>
      </c>
      <c r="O42" s="11"/>
      <c r="P42" s="7">
        <v>178380.59</v>
      </c>
      <c r="Q42" s="2"/>
      <c r="R42" s="6">
        <f t="shared" si="24"/>
        <v>5.0348692473224481E-2</v>
      </c>
      <c r="S42" s="2"/>
      <c r="T42" s="7">
        <v>73196.684999999998</v>
      </c>
      <c r="U42" s="2"/>
      <c r="V42" s="6">
        <f t="shared" si="25"/>
        <v>2.5934199617346939E-2</v>
      </c>
      <c r="W42" s="2"/>
      <c r="X42" s="7">
        <f t="shared" si="26"/>
        <v>105183.905</v>
      </c>
      <c r="Y42" s="2"/>
      <c r="Z42" s="6">
        <f t="shared" si="27"/>
        <v>1.4370036703164903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7">
        <v>59069.15</v>
      </c>
      <c r="E44" s="2"/>
      <c r="F44" s="6">
        <f t="shared" si="20"/>
        <v>3.6686667409271317E-2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59069.15</v>
      </c>
      <c r="M44" s="2"/>
      <c r="N44" s="6">
        <f t="shared" si="23"/>
        <v>0</v>
      </c>
      <c r="O44" s="11"/>
      <c r="P44" s="7">
        <v>155188.47</v>
      </c>
      <c r="Q44" s="2"/>
      <c r="R44" s="6">
        <f t="shared" si="24"/>
        <v>4.3802616368856177E-2</v>
      </c>
      <c r="S44" s="2"/>
      <c r="T44" s="7">
        <v>42825.5</v>
      </c>
      <c r="U44" s="2"/>
      <c r="V44" s="6">
        <f t="shared" si="25"/>
        <v>1.51734339569161E-2</v>
      </c>
      <c r="W44" s="2"/>
      <c r="X44" s="7">
        <f t="shared" si="26"/>
        <v>112362.97</v>
      </c>
      <c r="Y44" s="2"/>
      <c r="Z44" s="6">
        <f t="shared" si="27"/>
        <v>2.6237398279062707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>
        <v>13667.22</v>
      </c>
      <c r="E45" s="2"/>
      <c r="F45" s="6">
        <f t="shared" si="20"/>
        <v>8.4884369344969592E-3</v>
      </c>
      <c r="G45" s="2"/>
      <c r="H45" s="7">
        <v>134821.5</v>
      </c>
      <c r="I45" s="2"/>
      <c r="J45" s="6">
        <f t="shared" si="21"/>
        <v>9.5536777210884355E-2</v>
      </c>
      <c r="K45" s="2"/>
      <c r="L45" s="7">
        <f t="shared" si="22"/>
        <v>-121154.28</v>
      </c>
      <c r="M45" s="2"/>
      <c r="N45" s="6">
        <f t="shared" si="23"/>
        <v>-0.89862729609149872</v>
      </c>
      <c r="O45" s="11"/>
      <c r="P45" s="7">
        <v>18254.88</v>
      </c>
      <c r="Q45" s="2"/>
      <c r="R45" s="6">
        <f t="shared" si="24"/>
        <v>5.1525187760373264E-3</v>
      </c>
      <c r="S45" s="2"/>
      <c r="T45" s="7">
        <v>260178.7</v>
      </c>
      <c r="U45" s="2"/>
      <c r="V45" s="6">
        <f t="shared" si="25"/>
        <v>9.2183496315192751E-2</v>
      </c>
      <c r="W45" s="2"/>
      <c r="X45" s="7">
        <f t="shared" si="26"/>
        <v>-241923.82</v>
      </c>
      <c r="Y45" s="2"/>
      <c r="Z45" s="6">
        <f t="shared" si="27"/>
        <v>-0.9298371465458164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25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45</v>
      </c>
      <c r="E48" s="1"/>
      <c r="F48" s="5">
        <f t="shared" ref="F48:F71" si="28">IF(D$12=0,0,D48/D$12)</f>
        <v>2.7948599792230108E-5</v>
      </c>
      <c r="G48" s="1"/>
      <c r="H48" s="1">
        <f>SUM(OSRRefH22_2x_0)</f>
        <v>1319</v>
      </c>
      <c r="I48" s="1"/>
      <c r="J48" s="5">
        <f t="shared" ref="J48:J71" si="29">IF(H$12=0,0,H48/H$12)</f>
        <v>9.3466553287981861E-4</v>
      </c>
      <c r="K48" s="1"/>
      <c r="L48" s="1">
        <f t="shared" ref="L48:L71" si="30">+D48-H48</f>
        <v>-1274</v>
      </c>
      <c r="M48" s="1"/>
      <c r="N48" s="5">
        <f t="shared" ref="N48:N71" si="31">IF(H48=0,0,L48/H48)</f>
        <v>-0.96588324488248678</v>
      </c>
      <c r="O48" s="14"/>
      <c r="P48" s="1">
        <f>SUM(OSRRefP22_2x_0)</f>
        <v>2869.9</v>
      </c>
      <c r="Q48" s="1"/>
      <c r="R48" s="5">
        <f t="shared" ref="R48:R71" si="32">IF(P$12=0,0,P48/P$12)</f>
        <v>8.1004167846348608E-4</v>
      </c>
      <c r="S48" s="1"/>
      <c r="T48" s="1">
        <f>SUM(OSRRefT22_2x_0)</f>
        <v>5276</v>
      </c>
      <c r="U48" s="1"/>
      <c r="V48" s="5">
        <f t="shared" ref="V48:V71" si="33">IF(T$12=0,0,T48/T$12)</f>
        <v>1.8693310657596372E-3</v>
      </c>
      <c r="W48" s="1"/>
      <c r="X48" s="1">
        <f t="shared" ref="X48:X71" si="34">+P48-T48</f>
        <v>-2406.1</v>
      </c>
      <c r="Y48" s="1"/>
      <c r="Z48" s="5">
        <f t="shared" ref="Z48:Z71" si="35">IF(T48=0,0,X48/T48)</f>
        <v>-0.45604624715693703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7">
        <v>45</v>
      </c>
      <c r="E49" s="2"/>
      <c r="F49" s="6">
        <f t="shared" si="28"/>
        <v>2.7948599792230108E-5</v>
      </c>
      <c r="G49" s="2"/>
      <c r="H49" s="7">
        <v>1319</v>
      </c>
      <c r="I49" s="2"/>
      <c r="J49" s="6">
        <f t="shared" si="29"/>
        <v>9.3466553287981861E-4</v>
      </c>
      <c r="K49" s="2"/>
      <c r="L49" s="7">
        <f t="shared" si="30"/>
        <v>-1274</v>
      </c>
      <c r="M49" s="2"/>
      <c r="N49" s="6">
        <f t="shared" si="31"/>
        <v>-0.96588324488248678</v>
      </c>
      <c r="O49" s="11"/>
      <c r="P49" s="7">
        <v>2869.9</v>
      </c>
      <c r="Q49" s="2"/>
      <c r="R49" s="6">
        <f t="shared" si="32"/>
        <v>8.1004167846348608E-4</v>
      </c>
      <c r="S49" s="2"/>
      <c r="T49" s="7">
        <v>5276</v>
      </c>
      <c r="U49" s="2"/>
      <c r="V49" s="6">
        <f t="shared" si="33"/>
        <v>1.8693310657596372E-3</v>
      </c>
      <c r="W49" s="2"/>
      <c r="X49" s="7">
        <f t="shared" si="34"/>
        <v>-2406.1</v>
      </c>
      <c r="Y49" s="2"/>
      <c r="Z49" s="6">
        <f t="shared" si="35"/>
        <v>-0.45604624715693703</v>
      </c>
    </row>
    <row r="50" spans="1:26" s="28" customFormat="1" outlineLevel="1" collapsed="1" x14ac:dyDescent="0.25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-16</v>
      </c>
      <c r="E50" s="1"/>
      <c r="F50" s="5">
        <f t="shared" si="28"/>
        <v>-9.9372799261262612E-6</v>
      </c>
      <c r="G50" s="1"/>
      <c r="H50" s="1">
        <f>SUM(OSRRefH22_3x_0)</f>
        <v>33</v>
      </c>
      <c r="I50" s="1"/>
      <c r="J50" s="5">
        <f t="shared" si="29"/>
        <v>2.33843537414966E-5</v>
      </c>
      <c r="K50" s="1"/>
      <c r="L50" s="1">
        <f t="shared" si="30"/>
        <v>-49</v>
      </c>
      <c r="M50" s="1"/>
      <c r="N50" s="5">
        <f t="shared" si="31"/>
        <v>-1.4848484848484849</v>
      </c>
      <c r="O50" s="14"/>
      <c r="P50" s="1">
        <f>SUM(OSRRefP22_3x_0)</f>
        <v>-15.9</v>
      </c>
      <c r="Q50" s="1"/>
      <c r="R50" s="5">
        <f t="shared" si="32"/>
        <v>-4.4878437184464364E-6</v>
      </c>
      <c r="S50" s="1"/>
      <c r="T50" s="1">
        <f>SUM(OSRRefT22_3x_0)</f>
        <v>114</v>
      </c>
      <c r="U50" s="1"/>
      <c r="V50" s="5">
        <f t="shared" si="33"/>
        <v>4.0391156462585035E-5</v>
      </c>
      <c r="W50" s="1"/>
      <c r="X50" s="1">
        <f t="shared" si="34"/>
        <v>-129.9</v>
      </c>
      <c r="Y50" s="1"/>
      <c r="Z50" s="5">
        <f t="shared" si="35"/>
        <v>-1.1394736842105264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7">
        <v>-16</v>
      </c>
      <c r="E51" s="2"/>
      <c r="F51" s="6">
        <f t="shared" si="28"/>
        <v>-9.9372799261262612E-6</v>
      </c>
      <c r="G51" s="2"/>
      <c r="H51" s="7">
        <v>33</v>
      </c>
      <c r="I51" s="2"/>
      <c r="J51" s="6">
        <f t="shared" si="29"/>
        <v>2.33843537414966E-5</v>
      </c>
      <c r="K51" s="2"/>
      <c r="L51" s="7">
        <f t="shared" si="30"/>
        <v>-49</v>
      </c>
      <c r="M51" s="2"/>
      <c r="N51" s="6">
        <f t="shared" si="31"/>
        <v>-1.4848484848484849</v>
      </c>
      <c r="O51" s="11"/>
      <c r="P51" s="7">
        <v>-15.9</v>
      </c>
      <c r="Q51" s="2"/>
      <c r="R51" s="6">
        <f t="shared" si="32"/>
        <v>-4.4878437184464364E-6</v>
      </c>
      <c r="S51" s="2"/>
      <c r="T51" s="7">
        <v>114</v>
      </c>
      <c r="U51" s="2"/>
      <c r="V51" s="6">
        <f t="shared" si="33"/>
        <v>4.0391156462585035E-5</v>
      </c>
      <c r="W51" s="2"/>
      <c r="X51" s="7">
        <f t="shared" si="34"/>
        <v>-129.9</v>
      </c>
      <c r="Y51" s="2"/>
      <c r="Z51" s="6">
        <f t="shared" si="35"/>
        <v>-1.1394736842105264</v>
      </c>
    </row>
    <row r="52" spans="1:26" s="28" customFormat="1" outlineLevel="1" collapsed="1" x14ac:dyDescent="0.25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154.16</v>
      </c>
      <c r="E52" s="1"/>
      <c r="F52" s="5">
        <f t="shared" si="28"/>
        <v>9.5745692088226517E-5</v>
      </c>
      <c r="G52" s="1"/>
      <c r="H52" s="1">
        <f>SUM(OSRRefH22_4x_0)</f>
        <v>410</v>
      </c>
      <c r="I52" s="1"/>
      <c r="J52" s="5">
        <f t="shared" si="29"/>
        <v>2.9053287981859409E-4</v>
      </c>
      <c r="K52" s="1"/>
      <c r="L52" s="1">
        <f t="shared" si="30"/>
        <v>-255.84</v>
      </c>
      <c r="M52" s="1"/>
      <c r="N52" s="5">
        <f t="shared" si="31"/>
        <v>-0.624</v>
      </c>
      <c r="O52" s="14"/>
      <c r="P52" s="1">
        <f>SUM(OSRRefP22_4x_0)</f>
        <v>515.32000000000005</v>
      </c>
      <c r="Q52" s="1"/>
      <c r="R52" s="5">
        <f t="shared" si="32"/>
        <v>1.4545129716917094E-4</v>
      </c>
      <c r="S52" s="1"/>
      <c r="T52" s="1">
        <f>SUM(OSRRefT22_4x_0)</f>
        <v>1615</v>
      </c>
      <c r="U52" s="1"/>
      <c r="V52" s="5">
        <f t="shared" si="33"/>
        <v>5.7220804988662136E-4</v>
      </c>
      <c r="W52" s="1"/>
      <c r="X52" s="1">
        <f t="shared" si="34"/>
        <v>-1099.6799999999998</v>
      </c>
      <c r="Y52" s="1"/>
      <c r="Z52" s="5">
        <f t="shared" si="35"/>
        <v>-0.6809164086687306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7">
        <v>154.16</v>
      </c>
      <c r="E53" s="2"/>
      <c r="F53" s="6">
        <f t="shared" si="28"/>
        <v>9.5745692088226517E-5</v>
      </c>
      <c r="G53" s="2"/>
      <c r="H53" s="7">
        <v>410</v>
      </c>
      <c r="I53" s="2"/>
      <c r="J53" s="6">
        <f t="shared" si="29"/>
        <v>2.9053287981859409E-4</v>
      </c>
      <c r="K53" s="2"/>
      <c r="L53" s="7">
        <f t="shared" si="30"/>
        <v>-255.84</v>
      </c>
      <c r="M53" s="2"/>
      <c r="N53" s="6">
        <f t="shared" si="31"/>
        <v>-0.624</v>
      </c>
      <c r="O53" s="11"/>
      <c r="P53" s="7">
        <v>515.32000000000005</v>
      </c>
      <c r="Q53" s="2"/>
      <c r="R53" s="6">
        <f t="shared" si="32"/>
        <v>1.4545129716917094E-4</v>
      </c>
      <c r="S53" s="2"/>
      <c r="T53" s="7">
        <v>1615</v>
      </c>
      <c r="U53" s="2"/>
      <c r="V53" s="6">
        <f t="shared" si="33"/>
        <v>5.7220804988662136E-4</v>
      </c>
      <c r="W53" s="2"/>
      <c r="X53" s="7">
        <f t="shared" si="34"/>
        <v>-1099.6799999999998</v>
      </c>
      <c r="Y53" s="2"/>
      <c r="Z53" s="6">
        <f t="shared" si="35"/>
        <v>-0.6809164086687306</v>
      </c>
    </row>
    <row r="54" spans="1:26" s="28" customFormat="1" outlineLevel="1" collapsed="1" x14ac:dyDescent="0.25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760.04</v>
      </c>
      <c r="E54" s="1"/>
      <c r="F54" s="5">
        <f t="shared" si="28"/>
        <v>4.7204563969081267E-4</v>
      </c>
      <c r="G54" s="1"/>
      <c r="H54" s="1">
        <f>SUM(OSRRefH22_5x_0)</f>
        <v>486</v>
      </c>
      <c r="I54" s="1"/>
      <c r="J54" s="5">
        <f t="shared" si="29"/>
        <v>3.4438775510204083E-4</v>
      </c>
      <c r="K54" s="1"/>
      <c r="L54" s="1">
        <f t="shared" si="30"/>
        <v>274.03999999999996</v>
      </c>
      <c r="M54" s="1"/>
      <c r="N54" s="5">
        <f t="shared" si="31"/>
        <v>0.56386831275720162</v>
      </c>
      <c r="O54" s="14"/>
      <c r="P54" s="1">
        <f>SUM(OSRRefP22_5x_0)</f>
        <v>3040.16</v>
      </c>
      <c r="Q54" s="1"/>
      <c r="R54" s="5">
        <f t="shared" si="32"/>
        <v>8.5809829931271183E-4</v>
      </c>
      <c r="S54" s="1"/>
      <c r="T54" s="1">
        <f>SUM(OSRRefT22_5x_0)</f>
        <v>1944</v>
      </c>
      <c r="U54" s="1"/>
      <c r="V54" s="5">
        <f t="shared" si="33"/>
        <v>6.8877551020408165E-4</v>
      </c>
      <c r="W54" s="1"/>
      <c r="X54" s="1">
        <f t="shared" si="34"/>
        <v>1096.1599999999999</v>
      </c>
      <c r="Y54" s="1"/>
      <c r="Z54" s="5">
        <f t="shared" si="35"/>
        <v>0.56386831275720162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760.04</v>
      </c>
      <c r="E55" s="2"/>
      <c r="F55" s="6">
        <f t="shared" si="28"/>
        <v>4.7204563969081267E-4</v>
      </c>
      <c r="G55" s="2"/>
      <c r="H55" s="7">
        <v>486</v>
      </c>
      <c r="I55" s="2"/>
      <c r="J55" s="6">
        <f t="shared" si="29"/>
        <v>3.4438775510204083E-4</v>
      </c>
      <c r="K55" s="2"/>
      <c r="L55" s="7">
        <f t="shared" si="30"/>
        <v>274.03999999999996</v>
      </c>
      <c r="M55" s="2"/>
      <c r="N55" s="6">
        <f t="shared" si="31"/>
        <v>0.56386831275720162</v>
      </c>
      <c r="O55" s="11"/>
      <c r="P55" s="7">
        <v>3040.16</v>
      </c>
      <c r="Q55" s="2"/>
      <c r="R55" s="6">
        <f t="shared" si="32"/>
        <v>8.5809829931271183E-4</v>
      </c>
      <c r="S55" s="2"/>
      <c r="T55" s="7">
        <v>1944</v>
      </c>
      <c r="U55" s="2"/>
      <c r="V55" s="6">
        <f t="shared" si="33"/>
        <v>6.8877551020408165E-4</v>
      </c>
      <c r="W55" s="2"/>
      <c r="X55" s="7">
        <f t="shared" si="34"/>
        <v>1096.1599999999999</v>
      </c>
      <c r="Y55" s="2"/>
      <c r="Z55" s="6">
        <f t="shared" si="35"/>
        <v>0.56386831275720162</v>
      </c>
    </row>
    <row r="56" spans="1:26" s="28" customFormat="1" outlineLevel="1" collapsed="1" x14ac:dyDescent="0.25">
      <c r="A56" s="29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10498.56</v>
      </c>
      <c r="E56" s="1"/>
      <c r="F56" s="5">
        <f t="shared" si="28"/>
        <v>6.5204455963270066E-3</v>
      </c>
      <c r="G56" s="1"/>
      <c r="H56" s="1">
        <f>SUM(OSRRefH22_6x_0)</f>
        <v>15500</v>
      </c>
      <c r="I56" s="1"/>
      <c r="J56" s="5">
        <f t="shared" si="29"/>
        <v>1.0983560090702948E-2</v>
      </c>
      <c r="K56" s="1"/>
      <c r="L56" s="1">
        <f t="shared" si="30"/>
        <v>-5001.4400000000005</v>
      </c>
      <c r="M56" s="1"/>
      <c r="N56" s="5">
        <f t="shared" si="31"/>
        <v>-0.32267354838709683</v>
      </c>
      <c r="O56" s="14"/>
      <c r="P56" s="1">
        <f>SUM(OSRRefP22_6x_0)</f>
        <v>24413.74</v>
      </c>
      <c r="Q56" s="1"/>
      <c r="R56" s="5">
        <f t="shared" si="32"/>
        <v>6.890883629105944E-3</v>
      </c>
      <c r="S56" s="1"/>
      <c r="T56" s="1">
        <f>SUM(OSRRefT22_6x_0)</f>
        <v>46500</v>
      </c>
      <c r="U56" s="1"/>
      <c r="V56" s="5">
        <f t="shared" si="33"/>
        <v>1.6475340136054423E-2</v>
      </c>
      <c r="W56" s="1"/>
      <c r="X56" s="1">
        <f t="shared" si="34"/>
        <v>-22086.26</v>
      </c>
      <c r="Y56" s="1"/>
      <c r="Z56" s="5">
        <f t="shared" si="35"/>
        <v>-0.4749733333333333</v>
      </c>
    </row>
    <row r="57" spans="1:26" s="24" customFormat="1" hidden="1" outlineLevel="2" x14ac:dyDescent="0.25">
      <c r="A57" s="27"/>
      <c r="B57" s="11" t="str">
        <f>CONCATENATE("          ", "6399", " - ", "DONATION-ON CAMPUS")</f>
        <v xml:space="preserve">          6399 - DONATION-ON CAMPUS</v>
      </c>
      <c r="C57" s="11"/>
      <c r="D57" s="7">
        <v>10498.56</v>
      </c>
      <c r="E57" s="2"/>
      <c r="F57" s="6">
        <f t="shared" si="28"/>
        <v>6.5204455963270066E-3</v>
      </c>
      <c r="G57" s="2"/>
      <c r="H57" s="7">
        <v>15500</v>
      </c>
      <c r="I57" s="2"/>
      <c r="J57" s="6">
        <f t="shared" si="29"/>
        <v>1.0983560090702948E-2</v>
      </c>
      <c r="K57" s="2"/>
      <c r="L57" s="7">
        <f t="shared" si="30"/>
        <v>-5001.4400000000005</v>
      </c>
      <c r="M57" s="2"/>
      <c r="N57" s="6">
        <f t="shared" si="31"/>
        <v>-0.32267354838709683</v>
      </c>
      <c r="O57" s="11"/>
      <c r="P57" s="7">
        <v>24413.74</v>
      </c>
      <c r="Q57" s="2"/>
      <c r="R57" s="6">
        <f t="shared" si="32"/>
        <v>6.890883629105944E-3</v>
      </c>
      <c r="S57" s="2"/>
      <c r="T57" s="7">
        <v>46500</v>
      </c>
      <c r="U57" s="2"/>
      <c r="V57" s="6">
        <f t="shared" si="33"/>
        <v>1.6475340136054423E-2</v>
      </c>
      <c r="W57" s="2"/>
      <c r="X57" s="7">
        <f t="shared" si="34"/>
        <v>-22086.26</v>
      </c>
      <c r="Y57" s="2"/>
      <c r="Z57" s="6">
        <f t="shared" si="35"/>
        <v>-0.4749733333333333</v>
      </c>
    </row>
    <row r="58" spans="1:26" s="28" customFormat="1" outlineLevel="1" collapsed="1" x14ac:dyDescent="0.25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200</v>
      </c>
      <c r="I58" s="1"/>
      <c r="J58" s="5">
        <f t="shared" si="29"/>
        <v>1.417233560090703E-4</v>
      </c>
      <c r="K58" s="1"/>
      <c r="L58" s="1">
        <f t="shared" si="30"/>
        <v>-200</v>
      </c>
      <c r="M58" s="1"/>
      <c r="N58" s="5">
        <f t="shared" si="31"/>
        <v>-1</v>
      </c>
      <c r="O58" s="14"/>
      <c r="P58" s="1">
        <f>SUM(OSRRefP22_7x_0)</f>
        <v>14.49</v>
      </c>
      <c r="Q58" s="1"/>
      <c r="R58" s="5">
        <f t="shared" si="32"/>
        <v>4.0898651245464698E-6</v>
      </c>
      <c r="S58" s="1"/>
      <c r="T58" s="1">
        <f>SUM(OSRRefT22_7x_0)</f>
        <v>1000</v>
      </c>
      <c r="U58" s="1"/>
      <c r="V58" s="5">
        <f t="shared" si="33"/>
        <v>3.5430839002267573E-4</v>
      </c>
      <c r="W58" s="1"/>
      <c r="X58" s="1">
        <f t="shared" si="34"/>
        <v>-985.51</v>
      </c>
      <c r="Y58" s="1"/>
      <c r="Z58" s="5">
        <f t="shared" si="35"/>
        <v>-0.98551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200</v>
      </c>
      <c r="I59" s="2"/>
      <c r="J59" s="6">
        <f t="shared" si="29"/>
        <v>1.417233560090703E-4</v>
      </c>
      <c r="K59" s="2"/>
      <c r="L59" s="7">
        <f t="shared" si="30"/>
        <v>-200</v>
      </c>
      <c r="M59" s="2"/>
      <c r="N59" s="6">
        <f t="shared" si="31"/>
        <v>-1</v>
      </c>
      <c r="O59" s="11"/>
      <c r="P59" s="7">
        <v>14.49</v>
      </c>
      <c r="Q59" s="2"/>
      <c r="R59" s="6">
        <f t="shared" si="32"/>
        <v>4.0898651245464698E-6</v>
      </c>
      <c r="S59" s="2"/>
      <c r="T59" s="7">
        <v>1000</v>
      </c>
      <c r="U59" s="2"/>
      <c r="V59" s="6">
        <f t="shared" si="33"/>
        <v>3.5430839002267573E-4</v>
      </c>
      <c r="W59" s="2"/>
      <c r="X59" s="7">
        <f t="shared" si="34"/>
        <v>-985.51</v>
      </c>
      <c r="Y59" s="2"/>
      <c r="Z59" s="6">
        <f t="shared" si="35"/>
        <v>-0.98551</v>
      </c>
    </row>
    <row r="60" spans="1:26" s="28" customFormat="1" outlineLevel="1" collapsed="1" x14ac:dyDescent="0.25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1589.46</v>
      </c>
      <c r="E60" s="1"/>
      <c r="F60" s="5">
        <f t="shared" si="28"/>
        <v>9.8718180946129048E-4</v>
      </c>
      <c r="G60" s="1"/>
      <c r="H60" s="1">
        <f>SUM(OSRRefH22_8x_0)</f>
        <v>795</v>
      </c>
      <c r="I60" s="1"/>
      <c r="J60" s="5">
        <f t="shared" si="29"/>
        <v>5.6335034013605442E-4</v>
      </c>
      <c r="K60" s="1"/>
      <c r="L60" s="1">
        <f t="shared" si="30"/>
        <v>794.46</v>
      </c>
      <c r="M60" s="1"/>
      <c r="N60" s="5">
        <f t="shared" si="31"/>
        <v>0.99932075471698123</v>
      </c>
      <c r="O60" s="14"/>
      <c r="P60" s="1">
        <f>SUM(OSRRefP22_8x_0)</f>
        <v>6799.79</v>
      </c>
      <c r="Q60" s="1"/>
      <c r="R60" s="5">
        <f t="shared" si="32"/>
        <v>1.9192701156135153E-3</v>
      </c>
      <c r="S60" s="1"/>
      <c r="T60" s="1">
        <f>SUM(OSRRefT22_8x_0)</f>
        <v>3180</v>
      </c>
      <c r="U60" s="1"/>
      <c r="V60" s="5">
        <f t="shared" si="33"/>
        <v>1.1267006802721088E-3</v>
      </c>
      <c r="W60" s="1"/>
      <c r="X60" s="1">
        <f t="shared" si="34"/>
        <v>3619.79</v>
      </c>
      <c r="Y60" s="1"/>
      <c r="Z60" s="5">
        <f t="shared" si="35"/>
        <v>1.1382987421383648</v>
      </c>
    </row>
    <row r="61" spans="1:26" s="24" customFormat="1" hidden="1" outlineLevel="2" x14ac:dyDescent="0.25">
      <c r="A61" s="27"/>
      <c r="B61" s="11" t="str">
        <f>CONCATENATE("          ", "6351", " - ", "EQUIPMENT RENTAL")</f>
        <v xml:space="preserve">          6351 - EQUIPMENT RENTAL</v>
      </c>
      <c r="C61" s="11"/>
      <c r="D61" s="7">
        <v>1589.46</v>
      </c>
      <c r="E61" s="2"/>
      <c r="F61" s="6">
        <f t="shared" si="28"/>
        <v>9.8718180946129048E-4</v>
      </c>
      <c r="G61" s="2"/>
      <c r="H61" s="7">
        <v>795</v>
      </c>
      <c r="I61" s="2"/>
      <c r="J61" s="6">
        <f t="shared" si="29"/>
        <v>5.6335034013605442E-4</v>
      </c>
      <c r="K61" s="2"/>
      <c r="L61" s="7">
        <f t="shared" si="30"/>
        <v>794.46</v>
      </c>
      <c r="M61" s="2"/>
      <c r="N61" s="6">
        <f t="shared" si="31"/>
        <v>0.99932075471698123</v>
      </c>
      <c r="O61" s="11"/>
      <c r="P61" s="7">
        <v>6799.79</v>
      </c>
      <c r="Q61" s="2"/>
      <c r="R61" s="6">
        <f t="shared" si="32"/>
        <v>1.9192701156135153E-3</v>
      </c>
      <c r="S61" s="2"/>
      <c r="T61" s="7">
        <v>3180</v>
      </c>
      <c r="U61" s="2"/>
      <c r="V61" s="6">
        <f t="shared" si="33"/>
        <v>1.1267006802721088E-3</v>
      </c>
      <c r="W61" s="2"/>
      <c r="X61" s="7">
        <f t="shared" si="34"/>
        <v>3619.79</v>
      </c>
      <c r="Y61" s="2"/>
      <c r="Z61" s="6">
        <f t="shared" si="35"/>
        <v>1.1382987421383648</v>
      </c>
    </row>
    <row r="62" spans="1:26" s="28" customFormat="1" outlineLevel="1" collapsed="1" x14ac:dyDescent="0.25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297.61</v>
      </c>
      <c r="E62" s="1"/>
      <c r="F62" s="5">
        <f t="shared" si="28"/>
        <v>1.848396174259023E-4</v>
      </c>
      <c r="G62" s="1"/>
      <c r="H62" s="1">
        <f>SUM(OSRRefH22_9x_0)</f>
        <v>530</v>
      </c>
      <c r="I62" s="1"/>
      <c r="J62" s="5">
        <f t="shared" si="29"/>
        <v>3.7556689342403628E-4</v>
      </c>
      <c r="K62" s="1"/>
      <c r="L62" s="1">
        <f t="shared" si="30"/>
        <v>-232.39</v>
      </c>
      <c r="M62" s="1"/>
      <c r="N62" s="5">
        <f t="shared" si="31"/>
        <v>-0.43847169811320752</v>
      </c>
      <c r="O62" s="14"/>
      <c r="P62" s="1">
        <f>SUM(OSRRefP22_9x_0)</f>
        <v>11172.71</v>
      </c>
      <c r="Q62" s="1"/>
      <c r="R62" s="5">
        <f t="shared" si="32"/>
        <v>3.1535456850014893E-3</v>
      </c>
      <c r="S62" s="1"/>
      <c r="T62" s="1">
        <f>SUM(OSRRefT22_9x_0)</f>
        <v>7070</v>
      </c>
      <c r="U62" s="1"/>
      <c r="V62" s="5">
        <f t="shared" si="33"/>
        <v>2.5049603174603177E-3</v>
      </c>
      <c r="W62" s="1"/>
      <c r="X62" s="1">
        <f t="shared" si="34"/>
        <v>4102.7099999999991</v>
      </c>
      <c r="Y62" s="1"/>
      <c r="Z62" s="5">
        <f t="shared" si="35"/>
        <v>0.58029844413012721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7">
        <v>297.61</v>
      </c>
      <c r="E63" s="2"/>
      <c r="F63" s="6">
        <f t="shared" si="28"/>
        <v>1.848396174259023E-4</v>
      </c>
      <c r="G63" s="2"/>
      <c r="H63" s="7">
        <v>530</v>
      </c>
      <c r="I63" s="2"/>
      <c r="J63" s="6">
        <f t="shared" si="29"/>
        <v>3.7556689342403628E-4</v>
      </c>
      <c r="K63" s="2"/>
      <c r="L63" s="7">
        <f t="shared" si="30"/>
        <v>-232.39</v>
      </c>
      <c r="M63" s="2"/>
      <c r="N63" s="6">
        <f t="shared" si="31"/>
        <v>-0.43847169811320752</v>
      </c>
      <c r="O63" s="11"/>
      <c r="P63" s="7">
        <v>11172.71</v>
      </c>
      <c r="Q63" s="2"/>
      <c r="R63" s="6">
        <f t="shared" si="32"/>
        <v>3.1535456850014893E-3</v>
      </c>
      <c r="S63" s="2"/>
      <c r="T63" s="7">
        <v>7070</v>
      </c>
      <c r="U63" s="2"/>
      <c r="V63" s="6">
        <f t="shared" si="33"/>
        <v>2.5049603174603177E-3</v>
      </c>
      <c r="W63" s="2"/>
      <c r="X63" s="7">
        <f t="shared" si="34"/>
        <v>4102.7099999999991</v>
      </c>
      <c r="Y63" s="2"/>
      <c r="Z63" s="6">
        <f t="shared" si="35"/>
        <v>0.58029844413012721</v>
      </c>
    </row>
    <row r="64" spans="1:26" s="28" customFormat="1" outlineLevel="1" collapsed="1" x14ac:dyDescent="0.25">
      <c r="A64" s="29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SUM(OSRRefD22_10x_0)</f>
        <v>5.21</v>
      </c>
      <c r="E64" s="1"/>
      <c r="F64" s="5">
        <f t="shared" si="28"/>
        <v>3.2358267759448638E-6</v>
      </c>
      <c r="G64" s="1"/>
      <c r="H64" s="1">
        <f>SUM(OSRRefH22_10x_0)</f>
        <v>10</v>
      </c>
      <c r="I64" s="1"/>
      <c r="J64" s="5">
        <f t="shared" si="29"/>
        <v>7.0861678004535151E-6</v>
      </c>
      <c r="K64" s="1"/>
      <c r="L64" s="1">
        <f t="shared" si="30"/>
        <v>-4.79</v>
      </c>
      <c r="M64" s="1"/>
      <c r="N64" s="5">
        <f t="shared" si="31"/>
        <v>-0.47899999999999998</v>
      </c>
      <c r="O64" s="14"/>
      <c r="P64" s="1">
        <f>SUM(OSRRefP22_10x_0)</f>
        <v>20.85</v>
      </c>
      <c r="Q64" s="1"/>
      <c r="R64" s="5">
        <f t="shared" si="32"/>
        <v>5.8850026119250445E-6</v>
      </c>
      <c r="S64" s="1"/>
      <c r="T64" s="1">
        <f>SUM(OSRRefT22_10x_0)</f>
        <v>40</v>
      </c>
      <c r="U64" s="1"/>
      <c r="V64" s="5">
        <f t="shared" si="33"/>
        <v>1.417233560090703E-5</v>
      </c>
      <c r="W64" s="1"/>
      <c r="X64" s="1">
        <f t="shared" si="34"/>
        <v>-19.149999999999999</v>
      </c>
      <c r="Y64" s="1"/>
      <c r="Z64" s="5">
        <f t="shared" si="35"/>
        <v>-0.47874999999999995</v>
      </c>
    </row>
    <row r="65" spans="1:26" s="24" customFormat="1" hidden="1" outlineLevel="2" x14ac:dyDescent="0.25">
      <c r="A65" s="27"/>
      <c r="B65" s="11" t="str">
        <f>CONCATENATE("          ", "6314", " - ", "LIABILITY INSURANCE")</f>
        <v xml:space="preserve">          6314 - LIABILITY INSURANCE</v>
      </c>
      <c r="C65" s="11"/>
      <c r="D65" s="7">
        <v>5.21</v>
      </c>
      <c r="E65" s="2"/>
      <c r="F65" s="6">
        <f t="shared" si="28"/>
        <v>3.2358267759448638E-6</v>
      </c>
      <c r="G65" s="2"/>
      <c r="H65" s="7">
        <v>10</v>
      </c>
      <c r="I65" s="2"/>
      <c r="J65" s="6">
        <f t="shared" si="29"/>
        <v>7.0861678004535151E-6</v>
      </c>
      <c r="K65" s="2"/>
      <c r="L65" s="7">
        <f t="shared" si="30"/>
        <v>-4.79</v>
      </c>
      <c r="M65" s="2"/>
      <c r="N65" s="6">
        <f t="shared" si="31"/>
        <v>-0.47899999999999998</v>
      </c>
      <c r="O65" s="11"/>
      <c r="P65" s="7">
        <v>20.85</v>
      </c>
      <c r="Q65" s="2"/>
      <c r="R65" s="6">
        <f t="shared" si="32"/>
        <v>5.8850026119250445E-6</v>
      </c>
      <c r="S65" s="2"/>
      <c r="T65" s="7">
        <v>40</v>
      </c>
      <c r="U65" s="2"/>
      <c r="V65" s="6">
        <f t="shared" si="33"/>
        <v>1.417233560090703E-5</v>
      </c>
      <c r="W65" s="2"/>
      <c r="X65" s="7">
        <f t="shared" si="34"/>
        <v>-19.149999999999999</v>
      </c>
      <c r="Y65" s="2"/>
      <c r="Z65" s="6">
        <f t="shared" si="35"/>
        <v>-0.47874999999999995</v>
      </c>
    </row>
    <row r="66" spans="1:26" s="28" customFormat="1" outlineLevel="1" collapsed="1" x14ac:dyDescent="0.25">
      <c r="A66" s="29"/>
      <c r="B66" s="14" t="str">
        <f>CONCATENATE("     ","R/H Commissions                                   ")</f>
        <v xml:space="preserve">     R/H Commissions                                   </v>
      </c>
      <c r="C66" s="14"/>
      <c r="D66" s="1">
        <f>SUM(OSRRefD22_11x_0)</f>
        <v>127967.99</v>
      </c>
      <c r="E66" s="1"/>
      <c r="F66" s="5">
        <f t="shared" si="28"/>
        <v>7.9478358638357879E-2</v>
      </c>
      <c r="G66" s="1"/>
      <c r="H66" s="1">
        <f>SUM(OSRRefH22_11x_0)</f>
        <v>112896</v>
      </c>
      <c r="I66" s="1"/>
      <c r="J66" s="5">
        <f t="shared" si="29"/>
        <v>0.08</v>
      </c>
      <c r="K66" s="1"/>
      <c r="L66" s="1">
        <f t="shared" si="30"/>
        <v>15071.990000000005</v>
      </c>
      <c r="M66" s="1"/>
      <c r="N66" s="5">
        <f t="shared" si="31"/>
        <v>0.13350331278344676</v>
      </c>
      <c r="O66" s="14"/>
      <c r="P66" s="1">
        <f>SUM(OSRRefP22_11x_0)</f>
        <v>270770.98</v>
      </c>
      <c r="Q66" s="1"/>
      <c r="R66" s="5">
        <f t="shared" si="32"/>
        <v>7.6426279354124882E-2</v>
      </c>
      <c r="S66" s="1"/>
      <c r="T66" s="1">
        <f>SUM(OSRRefT22_11x_0)</f>
        <v>225792</v>
      </c>
      <c r="U66" s="1"/>
      <c r="V66" s="5">
        <f t="shared" si="33"/>
        <v>0.08</v>
      </c>
      <c r="W66" s="1"/>
      <c r="X66" s="1">
        <f t="shared" si="34"/>
        <v>44978.979999999981</v>
      </c>
      <c r="Y66" s="1"/>
      <c r="Z66" s="5">
        <f t="shared" si="35"/>
        <v>0.19920537485827655</v>
      </c>
    </row>
    <row r="67" spans="1:26" s="24" customFormat="1" hidden="1" outlineLevel="2" x14ac:dyDescent="0.25">
      <c r="A67" s="27"/>
      <c r="B67" s="11" t="str">
        <f>CONCATENATE("          ", "6387", " - ", "COMMISSION DUE HOUSING")</f>
        <v xml:space="preserve">          6387 - COMMISSION DUE HOUSING</v>
      </c>
      <c r="C67" s="11"/>
      <c r="D67" s="7">
        <v>127967.99</v>
      </c>
      <c r="E67" s="2"/>
      <c r="F67" s="6">
        <f t="shared" si="28"/>
        <v>7.9478358638357879E-2</v>
      </c>
      <c r="G67" s="2"/>
      <c r="H67" s="7">
        <v>112896</v>
      </c>
      <c r="I67" s="2"/>
      <c r="J67" s="6">
        <f t="shared" si="29"/>
        <v>0.08</v>
      </c>
      <c r="K67" s="2"/>
      <c r="L67" s="7">
        <f t="shared" si="30"/>
        <v>15071.990000000005</v>
      </c>
      <c r="M67" s="2"/>
      <c r="N67" s="6">
        <f t="shared" si="31"/>
        <v>0.13350331278344676</v>
      </c>
      <c r="O67" s="11"/>
      <c r="P67" s="7">
        <v>270770.98</v>
      </c>
      <c r="Q67" s="2"/>
      <c r="R67" s="6">
        <f t="shared" si="32"/>
        <v>7.6426279354124882E-2</v>
      </c>
      <c r="S67" s="2"/>
      <c r="T67" s="7">
        <v>225792</v>
      </c>
      <c r="U67" s="2"/>
      <c r="V67" s="6">
        <f t="shared" si="33"/>
        <v>0.08</v>
      </c>
      <c r="W67" s="2"/>
      <c r="X67" s="7">
        <f t="shared" si="34"/>
        <v>44978.979999999981</v>
      </c>
      <c r="Y67" s="2"/>
      <c r="Z67" s="6">
        <f t="shared" si="35"/>
        <v>0.19920537485827655</v>
      </c>
    </row>
    <row r="68" spans="1:26" s="28" customFormat="1" outlineLevel="1" collapsed="1" x14ac:dyDescent="0.25">
      <c r="A68" s="29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SUM(OSRRefD22_12x_0)</f>
        <v>6998.3099999999995</v>
      </c>
      <c r="E68" s="1"/>
      <c r="F68" s="5">
        <f t="shared" si="28"/>
        <v>4.3465103424880419E-3</v>
      </c>
      <c r="G68" s="1"/>
      <c r="H68" s="1">
        <f>SUM(OSRRefH22_12x_0)</f>
        <v>4050</v>
      </c>
      <c r="I68" s="1"/>
      <c r="J68" s="5">
        <f t="shared" si="29"/>
        <v>2.8698979591836736E-3</v>
      </c>
      <c r="K68" s="1"/>
      <c r="L68" s="1">
        <f t="shared" si="30"/>
        <v>2948.3099999999995</v>
      </c>
      <c r="M68" s="1"/>
      <c r="N68" s="5">
        <f t="shared" si="31"/>
        <v>0.72797777777777761</v>
      </c>
      <c r="O68" s="14"/>
      <c r="P68" s="1">
        <f>SUM(OSRRefP22_12x_0)</f>
        <v>18437.13</v>
      </c>
      <c r="Q68" s="1"/>
      <c r="R68" s="5">
        <f t="shared" si="32"/>
        <v>5.203959626206311E-3</v>
      </c>
      <c r="S68" s="1"/>
      <c r="T68" s="1">
        <f>SUM(OSRRefT22_12x_0)</f>
        <v>21500</v>
      </c>
      <c r="U68" s="1"/>
      <c r="V68" s="5">
        <f t="shared" si="33"/>
        <v>7.6176303854875284E-3</v>
      </c>
      <c r="W68" s="1"/>
      <c r="X68" s="1">
        <f t="shared" si="34"/>
        <v>-3062.869999999999</v>
      </c>
      <c r="Y68" s="1"/>
      <c r="Z68" s="5">
        <f t="shared" si="35"/>
        <v>-0.14245906976744183</v>
      </c>
    </row>
    <row r="69" spans="1:26" s="24" customFormat="1" hidden="1" outlineLevel="2" x14ac:dyDescent="0.25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7">
        <v>3500</v>
      </c>
      <c r="E69" s="2"/>
      <c r="F69" s="6">
        <f t="shared" si="28"/>
        <v>2.1737799838401194E-3</v>
      </c>
      <c r="G69" s="2"/>
      <c r="H69" s="7">
        <v>3500</v>
      </c>
      <c r="I69" s="2"/>
      <c r="J69" s="6">
        <f t="shared" si="29"/>
        <v>2.48015873015873E-3</v>
      </c>
      <c r="K69" s="2"/>
      <c r="L69" s="7">
        <f t="shared" si="30"/>
        <v>0</v>
      </c>
      <c r="M69" s="2"/>
      <c r="N69" s="6">
        <f t="shared" si="31"/>
        <v>0</v>
      </c>
      <c r="O69" s="11"/>
      <c r="P69" s="7">
        <v>14000</v>
      </c>
      <c r="Q69" s="2"/>
      <c r="R69" s="6">
        <f t="shared" si="32"/>
        <v>3.9515605068081829E-3</v>
      </c>
      <c r="S69" s="2"/>
      <c r="T69" s="7">
        <v>14000</v>
      </c>
      <c r="U69" s="2"/>
      <c r="V69" s="6">
        <f t="shared" si="33"/>
        <v>4.96031746031746E-3</v>
      </c>
      <c r="W69" s="2"/>
      <c r="X69" s="7">
        <f t="shared" si="34"/>
        <v>0</v>
      </c>
      <c r="Y69" s="2"/>
      <c r="Z69" s="6">
        <f t="shared" si="35"/>
        <v>0</v>
      </c>
    </row>
    <row r="70" spans="1:26" s="24" customFormat="1" hidden="1" outlineLevel="2" x14ac:dyDescent="0.25">
      <c r="A70" s="27"/>
      <c r="B70" s="11" t="str">
        <f>CONCATENATE("          ", "6373", " - ", "MAINTENANCE CONTRACTS")</f>
        <v xml:space="preserve">          6373 - MAINTENANCE CONTRACTS</v>
      </c>
      <c r="C70" s="11"/>
      <c r="D70" s="7">
        <v>57.15</v>
      </c>
      <c r="E70" s="2"/>
      <c r="F70" s="6">
        <f t="shared" si="28"/>
        <v>3.549472173613224E-5</v>
      </c>
      <c r="G70" s="2"/>
      <c r="H70" s="7">
        <v>0</v>
      </c>
      <c r="I70" s="2"/>
      <c r="J70" s="6">
        <f t="shared" si="29"/>
        <v>0</v>
      </c>
      <c r="K70" s="2"/>
      <c r="L70" s="7">
        <f t="shared" si="30"/>
        <v>57.15</v>
      </c>
      <c r="M70" s="2"/>
      <c r="N70" s="6">
        <f t="shared" si="31"/>
        <v>0</v>
      </c>
      <c r="O70" s="11"/>
      <c r="P70" s="7">
        <v>310.67</v>
      </c>
      <c r="Q70" s="2"/>
      <c r="R70" s="6">
        <f t="shared" si="32"/>
        <v>8.7687950189292729E-5</v>
      </c>
      <c r="S70" s="2"/>
      <c r="T70" s="7">
        <v>5300</v>
      </c>
      <c r="U70" s="2"/>
      <c r="V70" s="6">
        <f t="shared" si="33"/>
        <v>1.8778344671201814E-3</v>
      </c>
      <c r="W70" s="2"/>
      <c r="X70" s="7">
        <f t="shared" si="34"/>
        <v>-4989.33</v>
      </c>
      <c r="Y70" s="2"/>
      <c r="Z70" s="6">
        <f t="shared" si="35"/>
        <v>-0.94138301886792453</v>
      </c>
    </row>
    <row r="71" spans="1:26" s="24" customFormat="1" hidden="1" outlineLevel="2" x14ac:dyDescent="0.25">
      <c r="A71" s="27"/>
      <c r="B71" s="11" t="str">
        <f>CONCATENATE("          ", "6375", " - ", "OUTSIDE REPAIRS &amp; MAINTENANCE")</f>
        <v xml:space="preserve">          6375 - OUTSIDE REPAIRS &amp; MAINTENANCE</v>
      </c>
      <c r="C71" s="11"/>
      <c r="D71" s="7">
        <v>3441.16</v>
      </c>
      <c r="E71" s="2"/>
      <c r="F71" s="6">
        <f t="shared" si="28"/>
        <v>2.1372356369117902E-3</v>
      </c>
      <c r="G71" s="2"/>
      <c r="H71" s="7">
        <v>550</v>
      </c>
      <c r="I71" s="2"/>
      <c r="J71" s="6">
        <f t="shared" si="29"/>
        <v>3.8973922902494333E-4</v>
      </c>
      <c r="K71" s="2"/>
      <c r="L71" s="7">
        <f t="shared" si="30"/>
        <v>2891.16</v>
      </c>
      <c r="M71" s="2"/>
      <c r="N71" s="6">
        <f t="shared" si="31"/>
        <v>5.2566545454545448</v>
      </c>
      <c r="O71" s="11"/>
      <c r="P71" s="7">
        <v>4126.46</v>
      </c>
      <c r="Q71" s="2"/>
      <c r="R71" s="6">
        <f t="shared" si="32"/>
        <v>1.1647111692088354E-3</v>
      </c>
      <c r="S71" s="2"/>
      <c r="T71" s="7">
        <v>2200</v>
      </c>
      <c r="U71" s="2"/>
      <c r="V71" s="6">
        <f t="shared" si="33"/>
        <v>7.7947845804988666E-4</v>
      </c>
      <c r="W71" s="2"/>
      <c r="X71" s="7">
        <f t="shared" si="34"/>
        <v>1926.46</v>
      </c>
      <c r="Y71" s="2"/>
      <c r="Z71" s="6">
        <f t="shared" si="35"/>
        <v>0.87566363636363642</v>
      </c>
    </row>
    <row r="72" spans="1:26" s="28" customFormat="1" outlineLevel="1" collapsed="1" x14ac:dyDescent="0.25">
      <c r="A72" s="29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SUM(OSRRefD22_13x_0)</f>
        <v>23044.839999999997</v>
      </c>
      <c r="E72" s="1"/>
      <c r="F72" s="5">
        <f t="shared" ref="F72:F76" si="36">IF(D$12=0,0,D72/D$12)</f>
        <v>1.4312689120799466E-2</v>
      </c>
      <c r="G72" s="1"/>
      <c r="H72" s="1">
        <f>SUM(OSRRefH22_13x_0)</f>
        <v>21272</v>
      </c>
      <c r="I72" s="1"/>
      <c r="J72" s="5">
        <f t="shared" ref="J72:J76" si="37">IF(H$12=0,0,H72/H$12)</f>
        <v>1.5073696145124717E-2</v>
      </c>
      <c r="K72" s="1"/>
      <c r="L72" s="1">
        <f t="shared" ref="L72:L76" si="38">+D72-H72</f>
        <v>1772.8399999999965</v>
      </c>
      <c r="M72" s="1"/>
      <c r="N72" s="5">
        <f t="shared" ref="N72:N76" si="39">IF(H72=0,0,L72/H72)</f>
        <v>8.334148176006001E-2</v>
      </c>
      <c r="O72" s="14"/>
      <c r="P72" s="1">
        <f>SUM(OSRRefP22_13x_0)</f>
        <v>63023.4</v>
      </c>
      <c r="Q72" s="1"/>
      <c r="R72" s="5">
        <f t="shared" ref="R72:R76" si="40">IF(P$12=0,0,P72/P$12)</f>
        <v>1.7788627031769633E-2</v>
      </c>
      <c r="S72" s="1"/>
      <c r="T72" s="1">
        <f>SUM(OSRRefT22_13x_0)</f>
        <v>83488</v>
      </c>
      <c r="U72" s="1"/>
      <c r="V72" s="5">
        <f t="shared" ref="V72:V76" si="41">IF(T$12=0,0,T72/T$12)</f>
        <v>2.9580498866213153E-2</v>
      </c>
      <c r="W72" s="1"/>
      <c r="X72" s="1">
        <f t="shared" ref="X72:X76" si="42">+P72-T72</f>
        <v>-20464.599999999999</v>
      </c>
      <c r="Y72" s="1"/>
      <c r="Z72" s="5">
        <f t="shared" ref="Z72:Z76" si="43">IF(T72=0,0,X72/T72)</f>
        <v>-0.24512025680337293</v>
      </c>
    </row>
    <row r="73" spans="1:26" s="24" customFormat="1" hidden="1" outlineLevel="2" x14ac:dyDescent="0.25">
      <c r="A73" s="27"/>
      <c r="B73" s="11" t="str">
        <f>CONCATENATE("          ", "6282", " - ", "JANITORIAL/EXTERMINATOR EXPENS")</f>
        <v xml:space="preserve">          6282 - JANITORIAL/EXTERMINATOR EXPENS</v>
      </c>
      <c r="C73" s="11"/>
      <c r="D73" s="7">
        <v>3420.53</v>
      </c>
      <c r="E73" s="2"/>
      <c r="F73" s="6">
        <f t="shared" si="36"/>
        <v>2.1244227566070413E-3</v>
      </c>
      <c r="G73" s="2"/>
      <c r="H73" s="7">
        <v>1570</v>
      </c>
      <c r="I73" s="2"/>
      <c r="J73" s="6">
        <f t="shared" si="37"/>
        <v>1.1125283446712017E-3</v>
      </c>
      <c r="K73" s="2"/>
      <c r="L73" s="7">
        <f t="shared" si="38"/>
        <v>1850.5300000000002</v>
      </c>
      <c r="M73" s="2"/>
      <c r="N73" s="6">
        <f t="shared" si="39"/>
        <v>1.1786815286624206</v>
      </c>
      <c r="O73" s="11"/>
      <c r="P73" s="7">
        <v>7686.84</v>
      </c>
      <c r="Q73" s="2"/>
      <c r="R73" s="6">
        <f t="shared" si="40"/>
        <v>2.1696438118681011E-3</v>
      </c>
      <c r="S73" s="2"/>
      <c r="T73" s="7">
        <v>6280</v>
      </c>
      <c r="U73" s="2"/>
      <c r="V73" s="6">
        <f t="shared" si="41"/>
        <v>2.2250566893424035E-3</v>
      </c>
      <c r="W73" s="2"/>
      <c r="X73" s="7">
        <f t="shared" si="42"/>
        <v>1406.8400000000001</v>
      </c>
      <c r="Y73" s="2"/>
      <c r="Z73" s="6">
        <f t="shared" si="43"/>
        <v>0.22401910828025481</v>
      </c>
    </row>
    <row r="74" spans="1:26" s="24" customFormat="1" hidden="1" outlineLevel="2" x14ac:dyDescent="0.25">
      <c r="A74" s="27"/>
      <c r="B74" s="11" t="str">
        <f>CONCATENATE("          ", "6284", " - ", "TRASH REMOVAL EXPENSE")</f>
        <v xml:space="preserve">          6284 - TRASH REMOVAL EXPENSE</v>
      </c>
      <c r="C74" s="11"/>
      <c r="D74" s="7"/>
      <c r="E74" s="2"/>
      <c r="F74" s="6">
        <f t="shared" si="36"/>
        <v>0</v>
      </c>
      <c r="G74" s="2"/>
      <c r="H74" s="7">
        <v>600</v>
      </c>
      <c r="I74" s="2"/>
      <c r="J74" s="6">
        <f t="shared" si="37"/>
        <v>4.2517006802721087E-4</v>
      </c>
      <c r="K74" s="2"/>
      <c r="L74" s="7">
        <f t="shared" si="38"/>
        <v>-600</v>
      </c>
      <c r="M74" s="2"/>
      <c r="N74" s="6">
        <f t="shared" si="39"/>
        <v>-1</v>
      </c>
      <c r="O74" s="11"/>
      <c r="P74" s="7"/>
      <c r="Q74" s="2"/>
      <c r="R74" s="6">
        <f t="shared" si="40"/>
        <v>0</v>
      </c>
      <c r="S74" s="2"/>
      <c r="T74" s="7">
        <v>2400</v>
      </c>
      <c r="U74" s="2"/>
      <c r="V74" s="6">
        <f t="shared" si="41"/>
        <v>8.5034013605442174E-4</v>
      </c>
      <c r="W74" s="2"/>
      <c r="X74" s="7">
        <f t="shared" si="42"/>
        <v>-2400</v>
      </c>
      <c r="Y74" s="2"/>
      <c r="Z74" s="6">
        <f t="shared" si="43"/>
        <v>-1</v>
      </c>
    </row>
    <row r="75" spans="1:26" s="24" customFormat="1" hidden="1" outlineLevel="2" x14ac:dyDescent="0.25">
      <c r="A75" s="27"/>
      <c r="B75" s="11" t="str">
        <f>CONCATENATE("          ", "6285", " - ", "JANITORIAL SERVICES")</f>
        <v xml:space="preserve">          6285 - JANITORIAL SERVICES</v>
      </c>
      <c r="C75" s="11"/>
      <c r="D75" s="7">
        <v>13068.05</v>
      </c>
      <c r="E75" s="2"/>
      <c r="F75" s="6">
        <f t="shared" si="36"/>
        <v>8.1163044336633929E-3</v>
      </c>
      <c r="G75" s="2"/>
      <c r="H75" s="7">
        <v>14335</v>
      </c>
      <c r="I75" s="2"/>
      <c r="J75" s="6">
        <f t="shared" si="37"/>
        <v>1.0158021541950113E-2</v>
      </c>
      <c r="K75" s="2"/>
      <c r="L75" s="7">
        <f t="shared" si="38"/>
        <v>-1266.9500000000007</v>
      </c>
      <c r="M75" s="2"/>
      <c r="N75" s="6">
        <f t="shared" si="39"/>
        <v>-8.8381583536798092E-2</v>
      </c>
      <c r="O75" s="11"/>
      <c r="P75" s="7">
        <v>44344.38</v>
      </c>
      <c r="Q75" s="2"/>
      <c r="R75" s="6">
        <f t="shared" si="40"/>
        <v>1.2516392907635331E-2</v>
      </c>
      <c r="S75" s="2"/>
      <c r="T75" s="7">
        <v>57340</v>
      </c>
      <c r="U75" s="2"/>
      <c r="V75" s="6">
        <f t="shared" si="41"/>
        <v>2.0316043083900226E-2</v>
      </c>
      <c r="W75" s="2"/>
      <c r="X75" s="7">
        <f t="shared" si="42"/>
        <v>-12995.620000000003</v>
      </c>
      <c r="Y75" s="2"/>
      <c r="Z75" s="6">
        <f t="shared" si="43"/>
        <v>-0.22664143704220444</v>
      </c>
    </row>
    <row r="76" spans="1:26" s="24" customFormat="1" hidden="1" outlineLevel="2" x14ac:dyDescent="0.25">
      <c r="A76" s="27"/>
      <c r="B76" s="11" t="str">
        <f>CONCATENATE("          ", "6286", " - ", "LAUNDRY EXPENSE")</f>
        <v xml:space="preserve">          6286 - LAUNDRY EXPENSE</v>
      </c>
      <c r="C76" s="11"/>
      <c r="D76" s="7">
        <v>6556.26</v>
      </c>
      <c r="E76" s="2"/>
      <c r="F76" s="6">
        <f t="shared" si="36"/>
        <v>4.0719619305290347E-3</v>
      </c>
      <c r="G76" s="2"/>
      <c r="H76" s="7">
        <v>4767</v>
      </c>
      <c r="I76" s="2"/>
      <c r="J76" s="6">
        <f t="shared" si="37"/>
        <v>3.3779761904761904E-3</v>
      </c>
      <c r="K76" s="2"/>
      <c r="L76" s="7">
        <f t="shared" si="38"/>
        <v>1789.2600000000002</v>
      </c>
      <c r="M76" s="2"/>
      <c r="N76" s="6">
        <f t="shared" si="39"/>
        <v>0.37534298300818131</v>
      </c>
      <c r="O76" s="11"/>
      <c r="P76" s="7">
        <v>10992.18</v>
      </c>
      <c r="Q76" s="2"/>
      <c r="R76" s="6">
        <f t="shared" si="40"/>
        <v>3.1025903122661983E-3</v>
      </c>
      <c r="S76" s="2"/>
      <c r="T76" s="7">
        <v>17468</v>
      </c>
      <c r="U76" s="2"/>
      <c r="V76" s="6">
        <f t="shared" si="41"/>
        <v>6.1890589569161001E-3</v>
      </c>
      <c r="W76" s="2"/>
      <c r="X76" s="7">
        <f t="shared" si="42"/>
        <v>-6475.82</v>
      </c>
      <c r="Y76" s="2"/>
      <c r="Z76" s="6">
        <f t="shared" si="43"/>
        <v>-0.37072475383558506</v>
      </c>
    </row>
    <row r="77" spans="1:26" s="28" customFormat="1" outlineLevel="1" collapsed="1" x14ac:dyDescent="0.25">
      <c r="A77" s="29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SUM(OSRRefD22_14x_0)</f>
        <v>82763.31</v>
      </c>
      <c r="E77" s="1"/>
      <c r="F77" s="5">
        <f t="shared" ref="F77:F85" si="44">IF(D$12=0,0,D77/D$12)</f>
        <v>5.1402636192672803E-2</v>
      </c>
      <c r="G77" s="1"/>
      <c r="H77" s="1">
        <f>SUM(OSRRefH22_14x_0)</f>
        <v>29850</v>
      </c>
      <c r="I77" s="1"/>
      <c r="J77" s="5">
        <f t="shared" ref="J77:J85" si="45">IF(H$12=0,0,H77/H$12)</f>
        <v>2.1152210884353741E-2</v>
      </c>
      <c r="K77" s="1"/>
      <c r="L77" s="1">
        <f t="shared" ref="L77:L85" si="46">+D77-H77</f>
        <v>52913.31</v>
      </c>
      <c r="M77" s="1"/>
      <c r="N77" s="5">
        <f t="shared" ref="N77:N85" si="47">IF(H77=0,0,L77/H77)</f>
        <v>1.7726402010050251</v>
      </c>
      <c r="O77" s="14"/>
      <c r="P77" s="1">
        <f>SUM(OSRRefP22_14x_0)</f>
        <v>159424.41</v>
      </c>
      <c r="Q77" s="1"/>
      <c r="R77" s="5">
        <f t="shared" ref="R77:R85" si="48">IF(P$12=0,0,P77/P$12)</f>
        <v>4.4998228741228254E-2</v>
      </c>
      <c r="S77" s="1"/>
      <c r="T77" s="1">
        <f>SUM(OSRRefT22_14x_0)</f>
        <v>125600</v>
      </c>
      <c r="U77" s="1"/>
      <c r="V77" s="5">
        <f t="shared" ref="V77:V85" si="49">IF(T$12=0,0,T77/T$12)</f>
        <v>4.4501133786848071E-2</v>
      </c>
      <c r="W77" s="1"/>
      <c r="X77" s="1">
        <f t="shared" ref="X77:X85" si="50">+P77-T77</f>
        <v>33824.410000000003</v>
      </c>
      <c r="Y77" s="1"/>
      <c r="Z77" s="5">
        <f t="shared" ref="Z77:Z85" si="51">IF(T77=0,0,X77/T77)</f>
        <v>0.26930262738853505</v>
      </c>
    </row>
    <row r="78" spans="1:26" s="24" customFormat="1" hidden="1" outlineLevel="2" x14ac:dyDescent="0.25">
      <c r="A78" s="27"/>
      <c r="B78" s="11" t="str">
        <f>CONCATENATE("          ", "6234", " - ", "EXPENDABLE SUPPLIES &amp; EQUIPMEN")</f>
        <v xml:space="preserve">          6234 - EXPENDABLE SUPPLIES &amp; EQUIPMEN</v>
      </c>
      <c r="C78" s="11"/>
      <c r="D78" s="7"/>
      <c r="E78" s="2"/>
      <c r="F78" s="6">
        <f t="shared" si="44"/>
        <v>0</v>
      </c>
      <c r="G78" s="2"/>
      <c r="H78" s="7">
        <v>342</v>
      </c>
      <c r="I78" s="2"/>
      <c r="J78" s="6">
        <f t="shared" si="45"/>
        <v>2.4234693877551021E-4</v>
      </c>
      <c r="K78" s="2"/>
      <c r="L78" s="7">
        <f t="shared" si="46"/>
        <v>-342</v>
      </c>
      <c r="M78" s="2"/>
      <c r="N78" s="6">
        <f t="shared" si="47"/>
        <v>-1</v>
      </c>
      <c r="O78" s="11"/>
      <c r="P78" s="7">
        <v>21.98</v>
      </c>
      <c r="Q78" s="2"/>
      <c r="R78" s="6">
        <f t="shared" si="48"/>
        <v>6.2039499956888472E-6</v>
      </c>
      <c r="S78" s="2"/>
      <c r="T78" s="7">
        <v>1368</v>
      </c>
      <c r="U78" s="2"/>
      <c r="V78" s="6">
        <f t="shared" si="49"/>
        <v>4.8469387755102042E-4</v>
      </c>
      <c r="W78" s="2"/>
      <c r="X78" s="7">
        <f t="shared" si="50"/>
        <v>-1346.02</v>
      </c>
      <c r="Y78" s="2"/>
      <c r="Z78" s="6">
        <f t="shared" si="51"/>
        <v>-0.98393274853801171</v>
      </c>
    </row>
    <row r="79" spans="1:26" s="24" customFormat="1" hidden="1" outlineLevel="2" x14ac:dyDescent="0.25">
      <c r="A79" s="27"/>
      <c r="B79" s="11" t="str">
        <f>CONCATENATE("          ", "6237", " - ", "JANITORIAL SUPPLIES")</f>
        <v xml:space="preserve">          6237 - JANITORIAL SUPPLIES</v>
      </c>
      <c r="C79" s="11"/>
      <c r="D79" s="7">
        <v>4968.0200000000004</v>
      </c>
      <c r="E79" s="2"/>
      <c r="F79" s="6">
        <f t="shared" si="44"/>
        <v>3.0855378386621117E-3</v>
      </c>
      <c r="G79" s="2"/>
      <c r="H79" s="7">
        <v>9750</v>
      </c>
      <c r="I79" s="2"/>
      <c r="J79" s="6">
        <f t="shared" si="45"/>
        <v>6.9090136054421767E-3</v>
      </c>
      <c r="K79" s="2"/>
      <c r="L79" s="7">
        <f t="shared" si="46"/>
        <v>-4781.9799999999996</v>
      </c>
      <c r="M79" s="2"/>
      <c r="N79" s="6">
        <f t="shared" si="47"/>
        <v>-0.49045948717948712</v>
      </c>
      <c r="O79" s="11"/>
      <c r="P79" s="7">
        <v>23002.36</v>
      </c>
      <c r="Q79" s="2"/>
      <c r="R79" s="6">
        <f t="shared" si="48"/>
        <v>6.4925155242417341E-3</v>
      </c>
      <c r="S79" s="2"/>
      <c r="T79" s="7">
        <v>42000</v>
      </c>
      <c r="U79" s="2"/>
      <c r="V79" s="6">
        <f t="shared" si="49"/>
        <v>1.488095238095238E-2</v>
      </c>
      <c r="W79" s="2"/>
      <c r="X79" s="7">
        <f t="shared" si="50"/>
        <v>-18997.64</v>
      </c>
      <c r="Y79" s="2"/>
      <c r="Z79" s="6">
        <f t="shared" si="51"/>
        <v>-0.4523247619047619</v>
      </c>
    </row>
    <row r="80" spans="1:26" s="24" customFormat="1" hidden="1" outlineLevel="2" x14ac:dyDescent="0.25">
      <c r="A80" s="27"/>
      <c r="B80" s="11" t="str">
        <f>CONCATENATE("          ", "6239", " - ", "KITCHEN SUPPLIES")</f>
        <v xml:space="preserve">          6239 - KITCHEN SUPPLIES</v>
      </c>
      <c r="C80" s="11"/>
      <c r="D80" s="7">
        <v>10072.879999999999</v>
      </c>
      <c r="E80" s="2"/>
      <c r="F80" s="6">
        <f t="shared" si="44"/>
        <v>6.2560642638924179E-3</v>
      </c>
      <c r="G80" s="2"/>
      <c r="H80" s="7">
        <v>3900</v>
      </c>
      <c r="I80" s="2"/>
      <c r="J80" s="6">
        <f t="shared" si="45"/>
        <v>2.7636054421768708E-3</v>
      </c>
      <c r="K80" s="2"/>
      <c r="L80" s="7">
        <f t="shared" si="46"/>
        <v>6172.8799999999992</v>
      </c>
      <c r="M80" s="2"/>
      <c r="N80" s="6">
        <f t="shared" si="47"/>
        <v>1.5827897435897433</v>
      </c>
      <c r="O80" s="11"/>
      <c r="P80" s="7">
        <v>23121.57</v>
      </c>
      <c r="Q80" s="2"/>
      <c r="R80" s="6">
        <f t="shared" si="48"/>
        <v>6.5261630619572056E-3</v>
      </c>
      <c r="S80" s="2"/>
      <c r="T80" s="7">
        <v>20800</v>
      </c>
      <c r="U80" s="2"/>
      <c r="V80" s="6">
        <f t="shared" si="49"/>
        <v>7.3696145124716554E-3</v>
      </c>
      <c r="W80" s="2"/>
      <c r="X80" s="7">
        <f t="shared" si="50"/>
        <v>2321.5699999999997</v>
      </c>
      <c r="Y80" s="2"/>
      <c r="Z80" s="6">
        <f t="shared" si="51"/>
        <v>0.1116139423076923</v>
      </c>
    </row>
    <row r="81" spans="1:26" s="24" customFormat="1" hidden="1" outlineLevel="2" x14ac:dyDescent="0.25">
      <c r="A81" s="27"/>
      <c r="B81" s="11" t="str">
        <f>CONCATENATE("          ", "6241", " - ", "OFFICE EXPENSE")</f>
        <v xml:space="preserve">          6241 - OFFICE EXPENSE</v>
      </c>
      <c r="C81" s="11"/>
      <c r="D81" s="7">
        <v>4282.01</v>
      </c>
      <c r="E81" s="2"/>
      <c r="F81" s="6">
        <f t="shared" si="44"/>
        <v>2.6594707510294944E-3</v>
      </c>
      <c r="G81" s="2"/>
      <c r="H81" s="7">
        <v>1445</v>
      </c>
      <c r="I81" s="2"/>
      <c r="J81" s="6">
        <f t="shared" si="45"/>
        <v>1.0239512471655328E-3</v>
      </c>
      <c r="K81" s="2"/>
      <c r="L81" s="7">
        <f t="shared" si="46"/>
        <v>2837.01</v>
      </c>
      <c r="M81" s="2"/>
      <c r="N81" s="6">
        <f t="shared" si="47"/>
        <v>1.9633287197231835</v>
      </c>
      <c r="O81" s="11"/>
      <c r="P81" s="7">
        <v>10616.38</v>
      </c>
      <c r="Q81" s="2"/>
      <c r="R81" s="6">
        <f t="shared" si="48"/>
        <v>2.9965191380905897E-3</v>
      </c>
      <c r="S81" s="2"/>
      <c r="T81" s="7">
        <v>5780</v>
      </c>
      <c r="U81" s="2"/>
      <c r="V81" s="6">
        <f t="shared" si="49"/>
        <v>2.0479024943310655E-3</v>
      </c>
      <c r="W81" s="2"/>
      <c r="X81" s="7">
        <f t="shared" si="50"/>
        <v>4836.3799999999992</v>
      </c>
      <c r="Y81" s="2"/>
      <c r="Z81" s="6">
        <f t="shared" si="51"/>
        <v>0.83674394463667812</v>
      </c>
    </row>
    <row r="82" spans="1:26" s="24" customFormat="1" hidden="1" outlineLevel="2" x14ac:dyDescent="0.25">
      <c r="A82" s="27"/>
      <c r="B82" s="11" t="str">
        <f>CONCATENATE("          ", "6243", " - ", "PAPER SUPPLIES")</f>
        <v xml:space="preserve">          6243 - PAPER SUPPLIES</v>
      </c>
      <c r="C82" s="11"/>
      <c r="D82" s="7">
        <v>57587.39</v>
      </c>
      <c r="E82" s="2"/>
      <c r="F82" s="6">
        <f t="shared" si="44"/>
        <v>3.5766375915312759E-2</v>
      </c>
      <c r="G82" s="2"/>
      <c r="H82" s="7">
        <v>13300</v>
      </c>
      <c r="I82" s="2"/>
      <c r="J82" s="6">
        <f t="shared" si="45"/>
        <v>9.4246031746031741E-3</v>
      </c>
      <c r="K82" s="2"/>
      <c r="L82" s="7">
        <f t="shared" si="46"/>
        <v>44287.39</v>
      </c>
      <c r="M82" s="2"/>
      <c r="N82" s="6">
        <f t="shared" si="47"/>
        <v>3.3298789473684209</v>
      </c>
      <c r="O82" s="11"/>
      <c r="P82" s="7">
        <v>96427.09</v>
      </c>
      <c r="Q82" s="2"/>
      <c r="R82" s="6">
        <f t="shared" si="48"/>
        <v>2.7216962902174163E-2</v>
      </c>
      <c r="S82" s="2"/>
      <c r="T82" s="7">
        <v>51200</v>
      </c>
      <c r="U82" s="2"/>
      <c r="V82" s="6">
        <f t="shared" si="49"/>
        <v>1.8140589569160998E-2</v>
      </c>
      <c r="W82" s="2"/>
      <c r="X82" s="7">
        <f t="shared" si="50"/>
        <v>45227.09</v>
      </c>
      <c r="Y82" s="2"/>
      <c r="Z82" s="6">
        <f t="shared" si="51"/>
        <v>0.88334160156249997</v>
      </c>
    </row>
    <row r="83" spans="1:26" s="24" customFormat="1" hidden="1" outlineLevel="2" x14ac:dyDescent="0.25">
      <c r="A83" s="27"/>
      <c r="B83" s="11" t="str">
        <f>CONCATENATE("          ", "6244", " - ", "SAFETY SUPPLY EXPENSE")</f>
        <v xml:space="preserve">          6244 - SAFETY SUPPLY EXPENSE</v>
      </c>
      <c r="C83" s="11"/>
      <c r="D83" s="7"/>
      <c r="E83" s="2"/>
      <c r="F83" s="6">
        <f t="shared" si="44"/>
        <v>0</v>
      </c>
      <c r="G83" s="2"/>
      <c r="H83" s="7">
        <v>525</v>
      </c>
      <c r="I83" s="2"/>
      <c r="J83" s="6">
        <f t="shared" si="45"/>
        <v>3.720238095238095E-4</v>
      </c>
      <c r="K83" s="2"/>
      <c r="L83" s="7">
        <f t="shared" si="46"/>
        <v>-525</v>
      </c>
      <c r="M83" s="2"/>
      <c r="N83" s="6">
        <f t="shared" si="47"/>
        <v>-1</v>
      </c>
      <c r="O83" s="11"/>
      <c r="P83" s="7"/>
      <c r="Q83" s="2"/>
      <c r="R83" s="6">
        <f t="shared" si="48"/>
        <v>0</v>
      </c>
      <c r="S83" s="2"/>
      <c r="T83" s="7">
        <v>2100</v>
      </c>
      <c r="U83" s="2"/>
      <c r="V83" s="6">
        <f t="shared" si="49"/>
        <v>7.4404761904761901E-4</v>
      </c>
      <c r="W83" s="2"/>
      <c r="X83" s="7">
        <f t="shared" si="50"/>
        <v>-2100</v>
      </c>
      <c r="Y83" s="2"/>
      <c r="Z83" s="6">
        <f t="shared" si="51"/>
        <v>-1</v>
      </c>
    </row>
    <row r="84" spans="1:26" s="24" customFormat="1" hidden="1" outlineLevel="2" x14ac:dyDescent="0.25">
      <c r="A84" s="27"/>
      <c r="B84" s="11" t="str">
        <f>CONCATENATE("          ", "6247", " - ", "STORE SUPPLIES")</f>
        <v xml:space="preserve">          6247 - STORE SUPPLIES</v>
      </c>
      <c r="C84" s="11"/>
      <c r="D84" s="7">
        <v>241.78</v>
      </c>
      <c r="E84" s="2"/>
      <c r="F84" s="6">
        <f t="shared" si="44"/>
        <v>1.5016472128367547E-4</v>
      </c>
      <c r="G84" s="2"/>
      <c r="H84" s="7"/>
      <c r="I84" s="2"/>
      <c r="J84" s="6">
        <f t="shared" si="45"/>
        <v>0</v>
      </c>
      <c r="K84" s="2"/>
      <c r="L84" s="7">
        <f t="shared" si="46"/>
        <v>241.78</v>
      </c>
      <c r="M84" s="2"/>
      <c r="N84" s="6">
        <f t="shared" si="47"/>
        <v>0</v>
      </c>
      <c r="O84" s="11"/>
      <c r="P84" s="7">
        <v>623.79999999999995</v>
      </c>
      <c r="Q84" s="2"/>
      <c r="R84" s="6">
        <f t="shared" si="48"/>
        <v>1.7607024601049603E-4</v>
      </c>
      <c r="S84" s="2"/>
      <c r="T84" s="7"/>
      <c r="U84" s="2"/>
      <c r="V84" s="6">
        <f t="shared" si="49"/>
        <v>0</v>
      </c>
      <c r="W84" s="2"/>
      <c r="X84" s="7">
        <f t="shared" si="50"/>
        <v>623.79999999999995</v>
      </c>
      <c r="Y84" s="2"/>
      <c r="Z84" s="6">
        <f t="shared" si="51"/>
        <v>0</v>
      </c>
    </row>
    <row r="85" spans="1:26" s="24" customFormat="1" hidden="1" outlineLevel="2" x14ac:dyDescent="0.25">
      <c r="A85" s="27"/>
      <c r="B85" s="11" t="str">
        <f>CONCATENATE("          ", "6248", " - ", "UNIFORMS")</f>
        <v xml:space="preserve">          6248 - UNIFORMS</v>
      </c>
      <c r="C85" s="11"/>
      <c r="D85" s="7">
        <v>5611.23</v>
      </c>
      <c r="E85" s="2"/>
      <c r="F85" s="6">
        <f t="shared" si="44"/>
        <v>3.4850227024923407E-3</v>
      </c>
      <c r="G85" s="2"/>
      <c r="H85" s="7">
        <v>588</v>
      </c>
      <c r="I85" s="2"/>
      <c r="J85" s="6">
        <f t="shared" si="45"/>
        <v>4.1666666666666669E-4</v>
      </c>
      <c r="K85" s="2"/>
      <c r="L85" s="7">
        <f t="shared" si="46"/>
        <v>5023.2299999999996</v>
      </c>
      <c r="M85" s="2"/>
      <c r="N85" s="6">
        <f t="shared" si="47"/>
        <v>8.5429081632653059</v>
      </c>
      <c r="O85" s="11"/>
      <c r="P85" s="7">
        <v>5611.23</v>
      </c>
      <c r="Q85" s="2"/>
      <c r="R85" s="6">
        <f t="shared" si="48"/>
        <v>1.5837939187583771E-3</v>
      </c>
      <c r="S85" s="2"/>
      <c r="T85" s="7">
        <v>2352</v>
      </c>
      <c r="U85" s="2"/>
      <c r="V85" s="6">
        <f t="shared" si="49"/>
        <v>8.3333333333333339E-4</v>
      </c>
      <c r="W85" s="2"/>
      <c r="X85" s="7">
        <f t="shared" si="50"/>
        <v>3259.2299999999996</v>
      </c>
      <c r="Y85" s="2"/>
      <c r="Z85" s="6">
        <f t="shared" si="51"/>
        <v>1.3857270408163262</v>
      </c>
    </row>
    <row r="86" spans="1:26" s="28" customFormat="1" outlineLevel="1" collapsed="1" x14ac:dyDescent="0.25">
      <c r="A86" s="29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SUM(OSRRefD22_15x_0)</f>
        <v>1249</v>
      </c>
      <c r="E86" s="1"/>
      <c r="F86" s="5">
        <f t="shared" ref="F86:F88" si="52">IF(D$12=0,0,D86/D$12)</f>
        <v>7.7572891423323127E-4</v>
      </c>
      <c r="G86" s="1"/>
      <c r="H86" s="1">
        <f>SUM(OSRRefH22_15x_0)</f>
        <v>601</v>
      </c>
      <c r="I86" s="1"/>
      <c r="J86" s="5">
        <f t="shared" ref="J86:J88" si="53">IF(H$12=0,0,H86/H$12)</f>
        <v>4.2587868480725623E-4</v>
      </c>
      <c r="K86" s="1"/>
      <c r="L86" s="1">
        <f t="shared" ref="L86:L88" si="54">+D86-H86</f>
        <v>648</v>
      </c>
      <c r="M86" s="1"/>
      <c r="N86" s="5">
        <f t="shared" ref="N86:N88" si="55">IF(H86=0,0,L86/H86)</f>
        <v>1.0782029950083194</v>
      </c>
      <c r="O86" s="14"/>
      <c r="P86" s="1">
        <f>SUM(OSRRefP22_15x_0)</f>
        <v>3231.85</v>
      </c>
      <c r="Q86" s="1"/>
      <c r="R86" s="5">
        <f t="shared" ref="R86:R88" si="56">IF(P$12=0,0,P86/P$12)</f>
        <v>9.1220363028057328E-4</v>
      </c>
      <c r="S86" s="1"/>
      <c r="T86" s="1">
        <f>SUM(OSRRefT22_15x_0)</f>
        <v>2404</v>
      </c>
      <c r="U86" s="1"/>
      <c r="V86" s="5">
        <f t="shared" ref="V86:V88" si="57">IF(T$12=0,0,T86/T$12)</f>
        <v>8.5175736961451247E-4</v>
      </c>
      <c r="W86" s="1"/>
      <c r="X86" s="1">
        <f t="shared" ref="X86:X88" si="58">+P86-T86</f>
        <v>827.84999999999991</v>
      </c>
      <c r="Y86" s="1"/>
      <c r="Z86" s="5">
        <f t="shared" ref="Z86:Z88" si="59">IF(T86=0,0,X86/T86)</f>
        <v>0.34436356073211311</v>
      </c>
    </row>
    <row r="87" spans="1:26" s="24" customFormat="1" hidden="1" outlineLevel="2" x14ac:dyDescent="0.25">
      <c r="A87" s="27"/>
      <c r="B87" s="11" t="str">
        <f>CONCATENATE("          ", "6303", " - ", "DATA PHONE LINES")</f>
        <v xml:space="preserve">          6303 - DATA PHONE LINES</v>
      </c>
      <c r="C87" s="11"/>
      <c r="D87" s="7"/>
      <c r="E87" s="2"/>
      <c r="F87" s="6">
        <f t="shared" si="52"/>
        <v>0</v>
      </c>
      <c r="G87" s="2"/>
      <c r="H87" s="7">
        <v>58</v>
      </c>
      <c r="I87" s="2"/>
      <c r="J87" s="6">
        <f t="shared" si="53"/>
        <v>4.1099773242630387E-5</v>
      </c>
      <c r="K87" s="2"/>
      <c r="L87" s="7">
        <f t="shared" si="54"/>
        <v>-58</v>
      </c>
      <c r="M87" s="2"/>
      <c r="N87" s="6">
        <f t="shared" si="55"/>
        <v>-1</v>
      </c>
      <c r="O87" s="11"/>
      <c r="P87" s="7"/>
      <c r="Q87" s="2"/>
      <c r="R87" s="6">
        <f t="shared" si="56"/>
        <v>0</v>
      </c>
      <c r="S87" s="2"/>
      <c r="T87" s="7">
        <v>232</v>
      </c>
      <c r="U87" s="2"/>
      <c r="V87" s="6">
        <f t="shared" si="57"/>
        <v>8.2199546485260775E-5</v>
      </c>
      <c r="W87" s="2"/>
      <c r="X87" s="7">
        <f t="shared" si="58"/>
        <v>-232</v>
      </c>
      <c r="Y87" s="2"/>
      <c r="Z87" s="6">
        <f t="shared" si="59"/>
        <v>-1</v>
      </c>
    </row>
    <row r="88" spans="1:26" s="24" customFormat="1" hidden="1" outlineLevel="2" x14ac:dyDescent="0.25">
      <c r="A88" s="27"/>
      <c r="B88" s="11" t="str">
        <f>CONCATENATE("          ", "6309", " - ", "TELEPHONE")</f>
        <v xml:space="preserve">          6309 - TELEPHONE</v>
      </c>
      <c r="C88" s="11"/>
      <c r="D88" s="7">
        <v>1249</v>
      </c>
      <c r="E88" s="2"/>
      <c r="F88" s="6">
        <f t="shared" si="52"/>
        <v>7.7572891423323127E-4</v>
      </c>
      <c r="G88" s="2"/>
      <c r="H88" s="7">
        <v>543</v>
      </c>
      <c r="I88" s="2"/>
      <c r="J88" s="6">
        <f t="shared" si="53"/>
        <v>3.8477891156462587E-4</v>
      </c>
      <c r="K88" s="2"/>
      <c r="L88" s="7">
        <f t="shared" si="54"/>
        <v>706</v>
      </c>
      <c r="M88" s="2"/>
      <c r="N88" s="6">
        <f t="shared" si="55"/>
        <v>1.3001841620626151</v>
      </c>
      <c r="O88" s="11"/>
      <c r="P88" s="7">
        <v>3231.85</v>
      </c>
      <c r="Q88" s="2"/>
      <c r="R88" s="6">
        <f t="shared" si="56"/>
        <v>9.1220363028057328E-4</v>
      </c>
      <c r="S88" s="2"/>
      <c r="T88" s="7">
        <v>2172</v>
      </c>
      <c r="U88" s="2"/>
      <c r="V88" s="6">
        <f t="shared" si="57"/>
        <v>7.6955782312925175E-4</v>
      </c>
      <c r="W88" s="2"/>
      <c r="X88" s="7">
        <f t="shared" si="58"/>
        <v>1059.8499999999999</v>
      </c>
      <c r="Y88" s="2"/>
      <c r="Z88" s="6">
        <f t="shared" si="59"/>
        <v>0.48796040515653771</v>
      </c>
    </row>
    <row r="89" spans="1:26" s="28" customFormat="1" outlineLevel="1" collapsed="1" x14ac:dyDescent="0.25">
      <c r="A89" s="29"/>
      <c r="B89" s="14" t="str">
        <f>CONCATENATE("     ","Training                                          ")</f>
        <v xml:space="preserve">     Training                                          </v>
      </c>
      <c r="C89" s="14"/>
      <c r="D89" s="1">
        <f>SUM(OSRRefD22_16x_0)</f>
        <v>0</v>
      </c>
      <c r="E89" s="1"/>
      <c r="F89" s="5">
        <f t="shared" ref="F89:F93" si="60">IF(D$12=0,0,D89/D$12)</f>
        <v>0</v>
      </c>
      <c r="G89" s="1"/>
      <c r="H89" s="1">
        <f>SUM(OSRRefH22_16x_0)</f>
        <v>640</v>
      </c>
      <c r="I89" s="1"/>
      <c r="J89" s="5">
        <f t="shared" ref="J89:J93" si="61">IF(H$12=0,0,H89/H$12)</f>
        <v>4.5351473922902497E-4</v>
      </c>
      <c r="K89" s="1"/>
      <c r="L89" s="1">
        <f t="shared" ref="L89:L93" si="62">+D89-H89</f>
        <v>-640</v>
      </c>
      <c r="M89" s="1"/>
      <c r="N89" s="5">
        <f t="shared" ref="N89:N93" si="63">IF(H89=0,0,L89/H89)</f>
        <v>-1</v>
      </c>
      <c r="O89" s="14"/>
      <c r="P89" s="1">
        <f>SUM(OSRRefP22_16x_0)</f>
        <v>0</v>
      </c>
      <c r="Q89" s="1"/>
      <c r="R89" s="5">
        <f t="shared" ref="R89:R93" si="64">IF(P$12=0,0,P89/P$12)</f>
        <v>0</v>
      </c>
      <c r="S89" s="1"/>
      <c r="T89" s="1">
        <f>SUM(OSRRefT22_16x_0)</f>
        <v>2560</v>
      </c>
      <c r="U89" s="1"/>
      <c r="V89" s="5">
        <f t="shared" ref="V89:V93" si="65">IF(T$12=0,0,T89/T$12)</f>
        <v>9.0702947845804993E-4</v>
      </c>
      <c r="W89" s="1"/>
      <c r="X89" s="1">
        <f t="shared" ref="X89:X93" si="66">+P89-T89</f>
        <v>-2560</v>
      </c>
      <c r="Y89" s="1"/>
      <c r="Z89" s="5">
        <f t="shared" ref="Z89:Z93" si="67">IF(T89=0,0,X89/T89)</f>
        <v>-1</v>
      </c>
    </row>
    <row r="90" spans="1:26" s="24" customFormat="1" hidden="1" outlineLevel="2" x14ac:dyDescent="0.25">
      <c r="A90" s="27"/>
      <c r="B90" s="11" t="str">
        <f>CONCATENATE("          ", "6376", " - ", "TRAINING")</f>
        <v xml:space="preserve">          6376 - TRAINING</v>
      </c>
      <c r="C90" s="11"/>
      <c r="D90" s="7"/>
      <c r="E90" s="2"/>
      <c r="F90" s="6">
        <f t="shared" si="60"/>
        <v>0</v>
      </c>
      <c r="G90" s="2"/>
      <c r="H90" s="7">
        <v>640</v>
      </c>
      <c r="I90" s="2"/>
      <c r="J90" s="6">
        <f t="shared" si="61"/>
        <v>4.5351473922902497E-4</v>
      </c>
      <c r="K90" s="2"/>
      <c r="L90" s="7">
        <f t="shared" si="62"/>
        <v>-640</v>
      </c>
      <c r="M90" s="2"/>
      <c r="N90" s="6">
        <f t="shared" si="63"/>
        <v>-1</v>
      </c>
      <c r="O90" s="11"/>
      <c r="P90" s="7"/>
      <c r="Q90" s="2"/>
      <c r="R90" s="6">
        <f t="shared" si="64"/>
        <v>0</v>
      </c>
      <c r="S90" s="2"/>
      <c r="T90" s="7">
        <v>2560</v>
      </c>
      <c r="U90" s="2"/>
      <c r="V90" s="6">
        <f t="shared" si="65"/>
        <v>9.0702947845804993E-4</v>
      </c>
      <c r="W90" s="2"/>
      <c r="X90" s="7">
        <f t="shared" si="66"/>
        <v>-2560</v>
      </c>
      <c r="Y90" s="2"/>
      <c r="Z90" s="6">
        <f t="shared" si="67"/>
        <v>-1</v>
      </c>
    </row>
    <row r="91" spans="1:26" s="28" customFormat="1" outlineLevel="1" collapsed="1" x14ac:dyDescent="0.25">
      <c r="A91" s="29"/>
      <c r="B91" s="14" t="str">
        <f>CONCATENATE("     ","Travel                                            ")</f>
        <v xml:space="preserve">     Travel                                            </v>
      </c>
      <c r="C91" s="14"/>
      <c r="D91" s="1">
        <f>SUM(OSRRefD22_17x_0)</f>
        <v>0</v>
      </c>
      <c r="E91" s="1"/>
      <c r="F91" s="5">
        <f t="shared" si="60"/>
        <v>0</v>
      </c>
      <c r="G91" s="1"/>
      <c r="H91" s="1">
        <f>SUM(OSRRefH22_17x_0)</f>
        <v>0</v>
      </c>
      <c r="I91" s="1"/>
      <c r="J91" s="5">
        <f t="shared" si="61"/>
        <v>0</v>
      </c>
      <c r="K91" s="1"/>
      <c r="L91" s="1">
        <f t="shared" si="62"/>
        <v>0</v>
      </c>
      <c r="M91" s="1"/>
      <c r="N91" s="5">
        <f t="shared" si="63"/>
        <v>0</v>
      </c>
      <c r="O91" s="14"/>
      <c r="P91" s="1">
        <f>SUM(OSRRefP22_17x_0)</f>
        <v>699.02</v>
      </c>
      <c r="Q91" s="1"/>
      <c r="R91" s="5">
        <f t="shared" si="64"/>
        <v>1.9730141610493256E-4</v>
      </c>
      <c r="S91" s="1"/>
      <c r="T91" s="1">
        <f>SUM(OSRRefT22_17x_0)</f>
        <v>0</v>
      </c>
      <c r="U91" s="1"/>
      <c r="V91" s="5">
        <f t="shared" si="65"/>
        <v>0</v>
      </c>
      <c r="W91" s="1"/>
      <c r="X91" s="1">
        <f t="shared" si="66"/>
        <v>699.02</v>
      </c>
      <c r="Y91" s="1"/>
      <c r="Z91" s="5">
        <f t="shared" si="67"/>
        <v>0</v>
      </c>
    </row>
    <row r="92" spans="1:26" s="24" customFormat="1" hidden="1" outlineLevel="2" x14ac:dyDescent="0.25">
      <c r="A92" s="27"/>
      <c r="B92" s="11" t="str">
        <f>CONCATENATE("          ", "6292", " - ", "TRAVEL/CONFERENCE")</f>
        <v xml:space="preserve">          6292 - TRAVEL/CONFERENCE</v>
      </c>
      <c r="C92" s="11"/>
      <c r="D92" s="7"/>
      <c r="E92" s="2"/>
      <c r="F92" s="6">
        <f t="shared" si="60"/>
        <v>0</v>
      </c>
      <c r="G92" s="2"/>
      <c r="H92" s="7"/>
      <c r="I92" s="2"/>
      <c r="J92" s="6">
        <f t="shared" si="61"/>
        <v>0</v>
      </c>
      <c r="K92" s="2"/>
      <c r="L92" s="7">
        <f t="shared" si="62"/>
        <v>0</v>
      </c>
      <c r="M92" s="2"/>
      <c r="N92" s="6">
        <f t="shared" si="63"/>
        <v>0</v>
      </c>
      <c r="O92" s="11"/>
      <c r="P92" s="7">
        <v>595</v>
      </c>
      <c r="Q92" s="2"/>
      <c r="R92" s="6">
        <f t="shared" si="64"/>
        <v>1.6794132153934778E-4</v>
      </c>
      <c r="S92" s="2"/>
      <c r="T92" s="7"/>
      <c r="U92" s="2"/>
      <c r="V92" s="6">
        <f t="shared" si="65"/>
        <v>0</v>
      </c>
      <c r="W92" s="2"/>
      <c r="X92" s="7">
        <f t="shared" si="66"/>
        <v>595</v>
      </c>
      <c r="Y92" s="2"/>
      <c r="Z92" s="6">
        <f t="shared" si="67"/>
        <v>0</v>
      </c>
    </row>
    <row r="93" spans="1:26" s="24" customFormat="1" hidden="1" outlineLevel="2" x14ac:dyDescent="0.25">
      <c r="A93" s="27"/>
      <c r="B93" s="11" t="str">
        <f>CONCATENATE("          ", "6298", " - ", "VEHICLE MILEAGE")</f>
        <v xml:space="preserve">          6298 - VEHICLE MILEAGE</v>
      </c>
      <c r="C93" s="11"/>
      <c r="D93" s="7"/>
      <c r="E93" s="2"/>
      <c r="F93" s="6">
        <f t="shared" si="60"/>
        <v>0</v>
      </c>
      <c r="G93" s="2"/>
      <c r="H93" s="7"/>
      <c r="I93" s="2"/>
      <c r="J93" s="6">
        <f t="shared" si="61"/>
        <v>0</v>
      </c>
      <c r="K93" s="2"/>
      <c r="L93" s="7">
        <f t="shared" si="62"/>
        <v>0</v>
      </c>
      <c r="M93" s="2"/>
      <c r="N93" s="6">
        <f t="shared" si="63"/>
        <v>0</v>
      </c>
      <c r="O93" s="11"/>
      <c r="P93" s="7">
        <v>104.02</v>
      </c>
      <c r="Q93" s="2"/>
      <c r="R93" s="6">
        <f t="shared" si="64"/>
        <v>2.9360094565584797E-5</v>
      </c>
      <c r="S93" s="2"/>
      <c r="T93" s="7"/>
      <c r="U93" s="2"/>
      <c r="V93" s="6">
        <f t="shared" si="65"/>
        <v>0</v>
      </c>
      <c r="W93" s="2"/>
      <c r="X93" s="7">
        <f t="shared" si="66"/>
        <v>104.02</v>
      </c>
      <c r="Y93" s="2"/>
      <c r="Z93" s="6">
        <f t="shared" si="67"/>
        <v>0</v>
      </c>
    </row>
    <row r="94" spans="1:26" s="60" customFormat="1" x14ac:dyDescent="0.25">
      <c r="A94" s="36"/>
      <c r="B94" s="36"/>
      <c r="C94" s="36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6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x14ac:dyDescent="0.25">
      <c r="A95" s="10"/>
      <c r="B95" s="25" t="s">
        <v>293</v>
      </c>
      <c r="C95" s="10"/>
      <c r="D95" s="4">
        <f>SUM(0)</f>
        <v>0</v>
      </c>
      <c r="E95" s="4"/>
      <c r="F95" s="12">
        <f>IF(D$12=0,0,D95/D$12)</f>
        <v>0</v>
      </c>
      <c r="G95" s="4"/>
      <c r="H95" s="4">
        <f>SUM(0)</f>
        <v>0</v>
      </c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>
        <f>SUM(0)</f>
        <v>0</v>
      </c>
      <c r="Q95" s="4"/>
      <c r="R95" s="12">
        <f>IF(P$12=0,0,P95/P$12)</f>
        <v>0</v>
      </c>
      <c r="S95" s="4"/>
      <c r="T95" s="4">
        <f>SUM(0)</f>
        <v>0</v>
      </c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10"/>
      <c r="B97" s="26" t="s">
        <v>277</v>
      </c>
      <c r="C97" s="26"/>
      <c r="D97" s="21">
        <f>+D23-D25+D95</f>
        <v>411637.60999999987</v>
      </c>
      <c r="E97" s="13"/>
      <c r="F97" s="20">
        <f>IF(D$12=0,0,D97/D$12)</f>
        <v>0.25565988491822433</v>
      </c>
      <c r="G97" s="13"/>
      <c r="H97" s="21">
        <f>+H23-H25+H95</f>
        <v>377646.45959366742</v>
      </c>
      <c r="I97" s="13"/>
      <c r="J97" s="20">
        <f>IF(H$12=0,0,H97/H$12)</f>
        <v>0.26760661819279152</v>
      </c>
      <c r="K97" s="15"/>
      <c r="L97" s="21">
        <f>+D97-H97</f>
        <v>33991.150406332454</v>
      </c>
      <c r="M97" s="15"/>
      <c r="N97" s="20">
        <f>IF(H97=0,0,L97/H97)</f>
        <v>9.0007861964085611E-2</v>
      </c>
      <c r="O97" s="25"/>
      <c r="P97" s="21">
        <f>+P23-P25+P95</f>
        <v>787319.32000000053</v>
      </c>
      <c r="Q97" s="13"/>
      <c r="R97" s="20">
        <f>IF(P$12=0,0,P97/P$12)</f>
        <v>0.22222428079707687</v>
      </c>
      <c r="S97" s="13"/>
      <c r="T97" s="21">
        <f>+T23-T25+T95</f>
        <v>27157.930037203478</v>
      </c>
      <c r="U97" s="13"/>
      <c r="V97" s="20">
        <f>IF(T$12=0,0,T97/T$12)</f>
        <v>9.622282467830031E-3</v>
      </c>
      <c r="W97" s="15"/>
      <c r="X97" s="21">
        <f>+P97-T97</f>
        <v>760161.38996279705</v>
      </c>
      <c r="Y97" s="15"/>
      <c r="Z97" s="20">
        <f>IF(T97=0,0,X97/T97)</f>
        <v>27.990402395228823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52"/>
      <c r="B99" s="10" t="s">
        <v>128</v>
      </c>
      <c r="C99" s="10"/>
      <c r="D99" s="4">
        <v>170296.23</v>
      </c>
      <c r="E99" s="4"/>
      <c r="F99" s="12">
        <f>IF(D$12=0,0,D99/D$12)</f>
        <v>0.10576758174212381</v>
      </c>
      <c r="G99" s="4"/>
      <c r="H99" s="4">
        <v>171315</v>
      </c>
      <c r="I99" s="4"/>
      <c r="J99" s="12">
        <f>IF(H$12=0,0,H99/H$12)</f>
        <v>0.12139668367346938</v>
      </c>
      <c r="K99" s="4"/>
      <c r="L99" s="4">
        <f>+D99-H99</f>
        <v>-1018.7699999999895</v>
      </c>
      <c r="M99" s="4"/>
      <c r="N99" s="12">
        <f>IF(H99=0,0,L99/H99)</f>
        <v>-5.9467647316346472E-3</v>
      </c>
      <c r="O99" s="10"/>
      <c r="P99" s="4">
        <v>409530.44</v>
      </c>
      <c r="Q99" s="4"/>
      <c r="R99" s="12">
        <f>IF(P$12=0,0,P99/P$12)</f>
        <v>0.11559173664569844</v>
      </c>
      <c r="S99" s="4"/>
      <c r="T99" s="4">
        <v>324549</v>
      </c>
      <c r="U99" s="4"/>
      <c r="V99" s="12">
        <f>IF(T$12=0,0,T99/T$12)</f>
        <v>0.11499043367346939</v>
      </c>
      <c r="W99" s="4"/>
      <c r="X99" s="4">
        <f>+P99-T99</f>
        <v>84981.440000000002</v>
      </c>
      <c r="Y99" s="4"/>
      <c r="Z99" s="12">
        <f>IF(T99=0,0,X99/T99)</f>
        <v>0.26184471374122242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6" t="s">
        <v>126</v>
      </c>
      <c r="C101" s="26"/>
      <c r="D101" s="31">
        <f>+D97-D99</f>
        <v>241341.37999999986</v>
      </c>
      <c r="E101" s="13"/>
      <c r="F101" s="33">
        <f>IF(D$12=0,0,D101/D$12)</f>
        <v>0.14989230317610053</v>
      </c>
      <c r="G101" s="13"/>
      <c r="H101" s="31">
        <f>+H97-H99</f>
        <v>206331.45959366742</v>
      </c>
      <c r="I101" s="13"/>
      <c r="J101" s="33">
        <f>IF(H$12=0,0,H101/H$12)</f>
        <v>0.14620993451932215</v>
      </c>
      <c r="K101" s="15"/>
      <c r="L101" s="31">
        <f>D101-H101</f>
        <v>35009.920406332443</v>
      </c>
      <c r="M101" s="15"/>
      <c r="N101" s="33">
        <f>IF(H101=0,0,L101/H101)</f>
        <v>0.16967805333843983</v>
      </c>
      <c r="O101" s="25"/>
      <c r="P101" s="31">
        <f>+P97-P99</f>
        <v>377788.88000000053</v>
      </c>
      <c r="Q101" s="13"/>
      <c r="R101" s="33">
        <f>IF(P$12=0,0,P101/P$12)</f>
        <v>0.10663254415137842</v>
      </c>
      <c r="S101" s="13"/>
      <c r="T101" s="31">
        <f>+T97-T99</f>
        <v>-297391.06996279652</v>
      </c>
      <c r="U101" s="13"/>
      <c r="V101" s="33">
        <f>IF(T$12=0,0,T101/T$12)</f>
        <v>-0.10536815120563936</v>
      </c>
      <c r="W101" s="15"/>
      <c r="X101" s="31">
        <f>P101-T101</f>
        <v>675179.94996279711</v>
      </c>
      <c r="Y101" s="15"/>
      <c r="Z101" s="33">
        <f>IF(T101=0,0,X101/T101)</f>
        <v>-2.2703437263508341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6" t="s">
        <v>294</v>
      </c>
      <c r="C104" s="26"/>
      <c r="D104" s="35">
        <f>SUM(D101:D103)</f>
        <v>241341.37999999986</v>
      </c>
      <c r="E104" s="13"/>
      <c r="F104" s="32">
        <f>IF(D$12=0,0,D104/D$12)</f>
        <v>0.14989230317610053</v>
      </c>
      <c r="G104" s="13"/>
      <c r="H104" s="35">
        <f>SUM(H101:H103)</f>
        <v>206331.45959366742</v>
      </c>
      <c r="I104" s="13"/>
      <c r="J104" s="32">
        <f>IF(H$12=0,0,H104/H$12)</f>
        <v>0.14620993451932215</v>
      </c>
      <c r="K104" s="15"/>
      <c r="L104" s="35">
        <f>+D104-H104</f>
        <v>35009.920406332443</v>
      </c>
      <c r="M104" s="15"/>
      <c r="N104" s="32">
        <f>IF(H104=0,0,L104/H104)</f>
        <v>0.16967805333843983</v>
      </c>
      <c r="O104" s="25"/>
      <c r="P104" s="35">
        <f>SUM(P101:P103)</f>
        <v>377788.88000000053</v>
      </c>
      <c r="Q104" s="13"/>
      <c r="R104" s="32">
        <f>IF(P$12=0,0,P104/P$12)</f>
        <v>0.10663254415137842</v>
      </c>
      <c r="S104" s="13"/>
      <c r="T104" s="35">
        <f>SUM(T101:T103)</f>
        <v>-297391.06996279652</v>
      </c>
      <c r="U104" s="13"/>
      <c r="V104" s="32">
        <f>IF(T$12=0,0,T104/T$12)</f>
        <v>-0.10536815120563936</v>
      </c>
      <c r="W104" s="15"/>
      <c r="X104" s="35">
        <f>+P104-T104</f>
        <v>675179.94996279711</v>
      </c>
      <c r="Y104" s="15"/>
      <c r="Z104" s="32">
        <f>IF(T104=0,0,X104/T104)</f>
        <v>-2.2703437263508341</v>
      </c>
    </row>
    <row r="105" spans="1:26" ht="15.75" thickTop="1" x14ac:dyDescent="0.25">
      <c r="A105" s="9"/>
      <c r="C105" s="9"/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59">
        <v>44517.962850497686</v>
      </c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62" t="s">
        <v>56</v>
      </c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A108" s="9"/>
      <c r="B108" s="57"/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","430", " - ", "Res Hall Management")</f>
        <v>Department 430 - Res Hall Management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108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295</v>
      </c>
      <c r="C18" s="10"/>
      <c r="D18" s="22">
        <f>SUM(OSRRefD22x_0)</f>
        <v>22630.600000000002</v>
      </c>
      <c r="E18" s="22"/>
      <c r="F18" s="34">
        <f t="shared" ref="F18:F28" si="0">IF(D$12=0,0,D18/D$12)</f>
        <v>0</v>
      </c>
      <c r="G18" s="22"/>
      <c r="H18" s="22">
        <f>SUM(OSRRefH22x_0)</f>
        <v>19867.329675000001</v>
      </c>
      <c r="I18" s="22"/>
      <c r="J18" s="34">
        <f t="shared" ref="J18:J28" si="1">IF(H$12=0,0,H18/H$12)</f>
        <v>0</v>
      </c>
      <c r="K18" s="4"/>
      <c r="L18" s="22">
        <f t="shared" ref="L18:L28" si="2">+D18-H18</f>
        <v>2763.2703250000013</v>
      </c>
      <c r="M18" s="4"/>
      <c r="N18" s="34">
        <f t="shared" ref="N18:N28" si="3">IF(H18=0,0,L18/H18)</f>
        <v>0.13908614646271034</v>
      </c>
      <c r="O18" s="10"/>
      <c r="P18" s="22">
        <f>SUM(OSRRefP22x_0)</f>
        <v>79066.929999999993</v>
      </c>
      <c r="Q18" s="22"/>
      <c r="R18" s="34">
        <f t="shared" ref="R18:R28" si="4">IF(P$12=0,0,P18/P$12)</f>
        <v>0</v>
      </c>
      <c r="S18" s="22"/>
      <c r="T18" s="22">
        <f>SUM(OSRRefT22x_0)</f>
        <v>74083.186829999991</v>
      </c>
      <c r="U18" s="22"/>
      <c r="V18" s="34">
        <f t="shared" ref="V18:V28" si="5">IF(T$12=0,0,T18/T$12)</f>
        <v>0</v>
      </c>
      <c r="W18" s="4"/>
      <c r="X18" s="22">
        <f t="shared" ref="X18:X28" si="6">+P18-T18</f>
        <v>4983.7431700000016</v>
      </c>
      <c r="Y18" s="4"/>
      <c r="Z18" s="34">
        <f t="shared" ref="Z18:Z28" si="7">IF(T18=0,0,X18/T18)</f>
        <v>6.7272256813631484E-2</v>
      </c>
    </row>
    <row r="19" spans="1:26" s="28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7252.41</v>
      </c>
      <c r="E19" s="1"/>
      <c r="F19" s="5">
        <f t="shared" si="0"/>
        <v>0</v>
      </c>
      <c r="G19" s="1"/>
      <c r="H19" s="1">
        <f>SUM(OSRRefH22_0x_0)</f>
        <v>4804.704675</v>
      </c>
      <c r="I19" s="1"/>
      <c r="J19" s="5">
        <f t="shared" si="1"/>
        <v>0</v>
      </c>
      <c r="K19" s="1"/>
      <c r="L19" s="1">
        <f t="shared" si="2"/>
        <v>2447.7053249999999</v>
      </c>
      <c r="M19" s="1"/>
      <c r="N19" s="5">
        <f t="shared" si="3"/>
        <v>0.50943928723361132</v>
      </c>
      <c r="O19" s="14"/>
      <c r="P19" s="1">
        <f>SUM(OSRRefP22_0x_0)</f>
        <v>24396.57</v>
      </c>
      <c r="Q19" s="1"/>
      <c r="R19" s="5">
        <f t="shared" si="4"/>
        <v>0</v>
      </c>
      <c r="S19" s="1"/>
      <c r="T19" s="1">
        <f>SUM(OSRRefT22_0x_0)</f>
        <v>18087.736830000002</v>
      </c>
      <c r="U19" s="1"/>
      <c r="V19" s="5">
        <f t="shared" si="5"/>
        <v>0</v>
      </c>
      <c r="W19" s="1"/>
      <c r="X19" s="1">
        <f t="shared" si="6"/>
        <v>6308.8331699999981</v>
      </c>
      <c r="Y19" s="1"/>
      <c r="Z19" s="5">
        <f t="shared" si="7"/>
        <v>0.34879063253155468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1039.5899999999999</v>
      </c>
      <c r="E20" s="2"/>
      <c r="F20" s="6">
        <f t="shared" si="0"/>
        <v>0</v>
      </c>
      <c r="G20" s="2"/>
      <c r="H20" s="7">
        <v>856.94467499999996</v>
      </c>
      <c r="I20" s="2"/>
      <c r="J20" s="6">
        <f t="shared" si="1"/>
        <v>0</v>
      </c>
      <c r="K20" s="2"/>
      <c r="L20" s="7">
        <f t="shared" si="2"/>
        <v>182.64532499999996</v>
      </c>
      <c r="M20" s="2"/>
      <c r="N20" s="6">
        <f t="shared" si="3"/>
        <v>0.21313549208996482</v>
      </c>
      <c r="O20" s="11"/>
      <c r="P20" s="7">
        <v>3107.31</v>
      </c>
      <c r="Q20" s="2"/>
      <c r="R20" s="6">
        <f t="shared" si="4"/>
        <v>0</v>
      </c>
      <c r="S20" s="2"/>
      <c r="T20" s="7">
        <v>3085.00083</v>
      </c>
      <c r="U20" s="2"/>
      <c r="V20" s="6">
        <f t="shared" si="5"/>
        <v>0</v>
      </c>
      <c r="W20" s="2"/>
      <c r="X20" s="7">
        <f t="shared" si="6"/>
        <v>22.309169999999995</v>
      </c>
      <c r="Y20" s="2"/>
      <c r="Z20" s="6">
        <f t="shared" si="7"/>
        <v>7.2314956232929105E-3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489.22</v>
      </c>
      <c r="E21" s="2"/>
      <c r="F21" s="6">
        <f t="shared" si="0"/>
        <v>0</v>
      </c>
      <c r="G21" s="2"/>
      <c r="H21" s="7">
        <v>424.38524999999998</v>
      </c>
      <c r="I21" s="2"/>
      <c r="J21" s="6">
        <f t="shared" si="1"/>
        <v>0</v>
      </c>
      <c r="K21" s="2"/>
      <c r="L21" s="7">
        <f t="shared" si="2"/>
        <v>64.834750000000042</v>
      </c>
      <c r="M21" s="2"/>
      <c r="N21" s="6">
        <f t="shared" si="3"/>
        <v>0.15277333507703211</v>
      </c>
      <c r="O21" s="11"/>
      <c r="P21" s="7">
        <v>1462.24</v>
      </c>
      <c r="Q21" s="2"/>
      <c r="R21" s="6">
        <f t="shared" si="4"/>
        <v>0</v>
      </c>
      <c r="S21" s="2"/>
      <c r="T21" s="7">
        <v>1527.7869000000001</v>
      </c>
      <c r="U21" s="2"/>
      <c r="V21" s="6">
        <f t="shared" si="5"/>
        <v>0</v>
      </c>
      <c r="W21" s="2"/>
      <c r="X21" s="7">
        <f t="shared" si="6"/>
        <v>-65.546900000000051</v>
      </c>
      <c r="Y21" s="2"/>
      <c r="Z21" s="6">
        <f t="shared" si="7"/>
        <v>-4.2903169283621985E-2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2687.98</v>
      </c>
      <c r="E22" s="2"/>
      <c r="F22" s="6">
        <f t="shared" si="0"/>
        <v>0</v>
      </c>
      <c r="G22" s="2"/>
      <c r="H22" s="7">
        <v>1977</v>
      </c>
      <c r="I22" s="2"/>
      <c r="J22" s="6">
        <f t="shared" si="1"/>
        <v>0</v>
      </c>
      <c r="K22" s="2"/>
      <c r="L22" s="7">
        <f t="shared" si="2"/>
        <v>710.98</v>
      </c>
      <c r="M22" s="2"/>
      <c r="N22" s="6">
        <f t="shared" si="3"/>
        <v>0.35962569549822965</v>
      </c>
      <c r="O22" s="11"/>
      <c r="P22" s="7">
        <v>10763.17</v>
      </c>
      <c r="Q22" s="2"/>
      <c r="R22" s="6">
        <f t="shared" si="4"/>
        <v>0</v>
      </c>
      <c r="S22" s="2"/>
      <c r="T22" s="7">
        <v>7908</v>
      </c>
      <c r="U22" s="2"/>
      <c r="V22" s="6">
        <f t="shared" si="5"/>
        <v>0</v>
      </c>
      <c r="W22" s="2"/>
      <c r="X22" s="7">
        <f t="shared" si="6"/>
        <v>2855.17</v>
      </c>
      <c r="Y22" s="2"/>
      <c r="Z22" s="6">
        <f t="shared" si="7"/>
        <v>0.36104830551340417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35.33</v>
      </c>
      <c r="E23" s="2"/>
      <c r="F23" s="6">
        <f t="shared" si="0"/>
        <v>0</v>
      </c>
      <c r="G23" s="2"/>
      <c r="H23" s="7">
        <v>23.514749999999999</v>
      </c>
      <c r="I23" s="2"/>
      <c r="J23" s="6">
        <f t="shared" si="1"/>
        <v>0</v>
      </c>
      <c r="K23" s="2"/>
      <c r="L23" s="7">
        <f t="shared" si="2"/>
        <v>11.815249999999999</v>
      </c>
      <c r="M23" s="2"/>
      <c r="N23" s="6">
        <f t="shared" si="3"/>
        <v>0.50246122114842806</v>
      </c>
      <c r="O23" s="11"/>
      <c r="P23" s="7">
        <v>105.6</v>
      </c>
      <c r="Q23" s="2"/>
      <c r="R23" s="6">
        <f t="shared" si="4"/>
        <v>0</v>
      </c>
      <c r="S23" s="2"/>
      <c r="T23" s="7">
        <v>84.653099999999995</v>
      </c>
      <c r="U23" s="2"/>
      <c r="V23" s="6">
        <f t="shared" si="5"/>
        <v>0</v>
      </c>
      <c r="W23" s="2"/>
      <c r="X23" s="7">
        <f t="shared" si="6"/>
        <v>20.946899999999999</v>
      </c>
      <c r="Y23" s="2"/>
      <c r="Z23" s="6">
        <f t="shared" si="7"/>
        <v>0.24744398019682681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1020.04</v>
      </c>
      <c r="E24" s="2"/>
      <c r="F24" s="6">
        <f t="shared" si="0"/>
        <v>0</v>
      </c>
      <c r="G24" s="2"/>
      <c r="H24" s="7">
        <v>962.98500000000001</v>
      </c>
      <c r="I24" s="2"/>
      <c r="J24" s="6">
        <f t="shared" si="1"/>
        <v>0</v>
      </c>
      <c r="K24" s="2"/>
      <c r="L24" s="7">
        <f t="shared" si="2"/>
        <v>57.05499999999995</v>
      </c>
      <c r="M24" s="2"/>
      <c r="N24" s="6">
        <f t="shared" si="3"/>
        <v>5.9248067207692691E-2</v>
      </c>
      <c r="O24" s="11"/>
      <c r="P24" s="7">
        <v>3060.13</v>
      </c>
      <c r="Q24" s="2"/>
      <c r="R24" s="6">
        <f t="shared" si="4"/>
        <v>0</v>
      </c>
      <c r="S24" s="2"/>
      <c r="T24" s="7">
        <v>3466.7460000000001</v>
      </c>
      <c r="U24" s="2"/>
      <c r="V24" s="6">
        <f t="shared" si="5"/>
        <v>0</v>
      </c>
      <c r="W24" s="2"/>
      <c r="X24" s="7">
        <f t="shared" si="6"/>
        <v>-406.61599999999999</v>
      </c>
      <c r="Y24" s="2"/>
      <c r="Z24" s="6">
        <f t="shared" si="7"/>
        <v>-0.11729039277754989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7">
        <v>1241.46</v>
      </c>
      <c r="E26" s="2"/>
      <c r="F26" s="6">
        <f t="shared" si="0"/>
        <v>0</v>
      </c>
      <c r="G26" s="2"/>
      <c r="H26" s="7">
        <v>335.92500000000001</v>
      </c>
      <c r="I26" s="2"/>
      <c r="J26" s="6">
        <f t="shared" si="1"/>
        <v>0</v>
      </c>
      <c r="K26" s="2"/>
      <c r="L26" s="7">
        <f t="shared" si="2"/>
        <v>905.53500000000008</v>
      </c>
      <c r="M26" s="2"/>
      <c r="N26" s="6">
        <f t="shared" si="3"/>
        <v>2.6956463496316143</v>
      </c>
      <c r="O26" s="11"/>
      <c r="P26" s="7">
        <v>3724.38</v>
      </c>
      <c r="Q26" s="2"/>
      <c r="R26" s="6">
        <f t="shared" si="4"/>
        <v>0</v>
      </c>
      <c r="S26" s="2"/>
      <c r="T26" s="7">
        <v>1209.33</v>
      </c>
      <c r="U26" s="2"/>
      <c r="V26" s="6">
        <f t="shared" si="5"/>
        <v>0</v>
      </c>
      <c r="W26" s="2"/>
      <c r="X26" s="7">
        <f t="shared" si="6"/>
        <v>2515.0500000000002</v>
      </c>
      <c r="Y26" s="2"/>
      <c r="Z26" s="6">
        <f t="shared" si="7"/>
        <v>2.0797052913596787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7">
        <v>619.89</v>
      </c>
      <c r="E27" s="2"/>
      <c r="F27" s="6">
        <f t="shared" si="0"/>
        <v>0</v>
      </c>
      <c r="G27" s="2"/>
      <c r="H27" s="7">
        <v>223.95</v>
      </c>
      <c r="I27" s="2"/>
      <c r="J27" s="6">
        <f t="shared" si="1"/>
        <v>0</v>
      </c>
      <c r="K27" s="2"/>
      <c r="L27" s="7">
        <f t="shared" si="2"/>
        <v>395.94</v>
      </c>
      <c r="M27" s="2"/>
      <c r="N27" s="6">
        <f t="shared" si="3"/>
        <v>1.7679839249832552</v>
      </c>
      <c r="O27" s="11"/>
      <c r="P27" s="7">
        <v>1859.67</v>
      </c>
      <c r="Q27" s="2"/>
      <c r="R27" s="6">
        <f t="shared" si="4"/>
        <v>0</v>
      </c>
      <c r="S27" s="2"/>
      <c r="T27" s="7">
        <v>806.22</v>
      </c>
      <c r="U27" s="2"/>
      <c r="V27" s="6">
        <f t="shared" si="5"/>
        <v>0</v>
      </c>
      <c r="W27" s="2"/>
      <c r="X27" s="7">
        <f t="shared" si="6"/>
        <v>1053.45</v>
      </c>
      <c r="Y27" s="2"/>
      <c r="Z27" s="6">
        <f t="shared" si="7"/>
        <v>1.3066532708193794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7">
        <v>118.9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118.9</v>
      </c>
      <c r="M28" s="2"/>
      <c r="N28" s="6">
        <f t="shared" si="3"/>
        <v>0</v>
      </c>
      <c r="O28" s="11"/>
      <c r="P28" s="7">
        <v>314.07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314.07</v>
      </c>
      <c r="Y28" s="2"/>
      <c r="Z28" s="6">
        <f t="shared" si="7"/>
        <v>0</v>
      </c>
    </row>
    <row r="29" spans="1:26" s="28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11199.31</v>
      </c>
      <c r="E29" s="1"/>
      <c r="F29" s="5">
        <f t="shared" ref="F29:F39" si="8">IF(D$12=0,0,D29/D$12)</f>
        <v>0</v>
      </c>
      <c r="G29" s="1"/>
      <c r="H29" s="1">
        <f>SUM(OSRRefH22_1x_0)</f>
        <v>10637.625</v>
      </c>
      <c r="I29" s="1"/>
      <c r="J29" s="5">
        <f t="shared" ref="J29:J39" si="9">IF(H$12=0,0,H29/H$12)</f>
        <v>0</v>
      </c>
      <c r="K29" s="1"/>
      <c r="L29" s="1">
        <f t="shared" ref="L29:L39" si="10">+D29-H29</f>
        <v>561.68499999999949</v>
      </c>
      <c r="M29" s="1"/>
      <c r="N29" s="5">
        <f t="shared" ref="N29:N39" si="11">IF(H29=0,0,L29/H29)</f>
        <v>5.2801729709404069E-2</v>
      </c>
      <c r="O29" s="14"/>
      <c r="P29" s="1">
        <f>SUM(OSRRefP22_1x_0)</f>
        <v>38973.949999999997</v>
      </c>
      <c r="Q29" s="1"/>
      <c r="R29" s="5">
        <f t="shared" ref="R29:R39" si="12">IF(P$12=0,0,P29/P$12)</f>
        <v>0</v>
      </c>
      <c r="S29" s="1"/>
      <c r="T29" s="1">
        <f>SUM(OSRRefT22_1x_0)</f>
        <v>38295.449999999997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678.5</v>
      </c>
      <c r="Y29" s="1"/>
      <c r="Z29" s="5">
        <f t="shared" ref="Z29:Z39" si="15">IF(T29=0,0,X29/T29)</f>
        <v>1.7717509521366116E-2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>
        <v>11199.31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11199.31</v>
      </c>
      <c r="M30" s="2"/>
      <c r="N30" s="6">
        <f t="shared" si="11"/>
        <v>0</v>
      </c>
      <c r="O30" s="11"/>
      <c r="P30" s="7">
        <v>38973.949999999997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38973.949999999997</v>
      </c>
      <c r="Y30" s="2"/>
      <c r="Z30" s="6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10637.625</v>
      </c>
      <c r="I31" s="2"/>
      <c r="J31" s="6">
        <f t="shared" si="9"/>
        <v>0</v>
      </c>
      <c r="K31" s="2"/>
      <c r="L31" s="7">
        <f t="shared" si="10"/>
        <v>-10637.625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38295.449999999997</v>
      </c>
      <c r="U31" s="2"/>
      <c r="V31" s="6">
        <f t="shared" si="13"/>
        <v>0</v>
      </c>
      <c r="W31" s="2"/>
      <c r="X31" s="7">
        <f t="shared" si="14"/>
        <v>-38295.449999999997</v>
      </c>
      <c r="Y31" s="2"/>
      <c r="Z31" s="6">
        <f t="shared" si="15"/>
        <v>-1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45</v>
      </c>
      <c r="E40" s="1"/>
      <c r="F40" s="5">
        <f t="shared" ref="F40:F48" si="16">IF(D$12=0,0,D40/D$12)</f>
        <v>0</v>
      </c>
      <c r="G40" s="1"/>
      <c r="H40" s="1">
        <f>SUM(OSRRefH22_2x_0)</f>
        <v>0</v>
      </c>
      <c r="I40" s="1"/>
      <c r="J40" s="5">
        <f t="shared" ref="J40:J48" si="17">IF(H$12=0,0,H40/H$12)</f>
        <v>0</v>
      </c>
      <c r="K40" s="1"/>
      <c r="L40" s="1">
        <f t="shared" ref="L40:L48" si="18">+D40-H40</f>
        <v>45</v>
      </c>
      <c r="M40" s="1"/>
      <c r="N40" s="5">
        <f t="shared" ref="N40:N48" si="19">IF(H40=0,0,L40/H40)</f>
        <v>0</v>
      </c>
      <c r="O40" s="14"/>
      <c r="P40" s="1">
        <f>SUM(OSRRefP22_2x_0)</f>
        <v>45</v>
      </c>
      <c r="Q40" s="1"/>
      <c r="R40" s="5">
        <f t="shared" ref="R40:R48" si="20">IF(P$12=0,0,P40/P$12)</f>
        <v>0</v>
      </c>
      <c r="S40" s="1"/>
      <c r="T40" s="1">
        <f>SUM(OSRRefT22_2x_0)</f>
        <v>0</v>
      </c>
      <c r="U40" s="1"/>
      <c r="V40" s="5">
        <f t="shared" ref="V40:V48" si="21">IF(T$12=0,0,T40/T$12)</f>
        <v>0</v>
      </c>
      <c r="W40" s="1"/>
      <c r="X40" s="1">
        <f t="shared" ref="X40:X48" si="22">+P40-T40</f>
        <v>45</v>
      </c>
      <c r="Y40" s="1"/>
      <c r="Z40" s="5">
        <f t="shared" ref="Z40:Z48" si="23">IF(T40=0,0,X40/T40)</f>
        <v>0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7">
        <v>45</v>
      </c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45</v>
      </c>
      <c r="M41" s="2"/>
      <c r="N41" s="6">
        <f t="shared" si="19"/>
        <v>0</v>
      </c>
      <c r="O41" s="11"/>
      <c r="P41" s="7">
        <v>45</v>
      </c>
      <c r="Q41" s="2"/>
      <c r="R41" s="6">
        <f t="shared" si="20"/>
        <v>0</v>
      </c>
      <c r="S41" s="2"/>
      <c r="T41" s="7"/>
      <c r="U41" s="2"/>
      <c r="V41" s="6">
        <f t="shared" si="21"/>
        <v>0</v>
      </c>
      <c r="W41" s="2"/>
      <c r="X41" s="7">
        <f t="shared" si="22"/>
        <v>45</v>
      </c>
      <c r="Y41" s="2"/>
      <c r="Z41" s="6">
        <f t="shared" si="23"/>
        <v>0</v>
      </c>
    </row>
    <row r="42" spans="1:26" s="28" customFormat="1" outlineLevel="1" collapsed="1" x14ac:dyDescent="0.25">
      <c r="A42" s="29"/>
      <c r="B42" s="14" t="str">
        <f>CONCATENATE("     ","General                                           ")</f>
        <v xml:space="preserve">     General                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200</v>
      </c>
      <c r="I42" s="1"/>
      <c r="J42" s="5">
        <f t="shared" si="17"/>
        <v>0</v>
      </c>
      <c r="K42" s="1"/>
      <c r="L42" s="1">
        <f t="shared" si="18"/>
        <v>-200</v>
      </c>
      <c r="M42" s="1"/>
      <c r="N42" s="5">
        <f t="shared" si="19"/>
        <v>-1</v>
      </c>
      <c r="O42" s="14"/>
      <c r="P42" s="1">
        <f>SUM(OSRRefP22_3x_0)</f>
        <v>170</v>
      </c>
      <c r="Q42" s="1"/>
      <c r="R42" s="5">
        <f t="shared" si="20"/>
        <v>0</v>
      </c>
      <c r="S42" s="1"/>
      <c r="T42" s="1">
        <f>SUM(OSRRefT22_3x_0)</f>
        <v>800</v>
      </c>
      <c r="U42" s="1"/>
      <c r="V42" s="5">
        <f t="shared" si="21"/>
        <v>0</v>
      </c>
      <c r="W42" s="1"/>
      <c r="X42" s="1">
        <f t="shared" si="22"/>
        <v>-630</v>
      </c>
      <c r="Y42" s="1"/>
      <c r="Z42" s="5">
        <f t="shared" si="23"/>
        <v>-0.78749999999999998</v>
      </c>
    </row>
    <row r="43" spans="1:26" s="24" customFormat="1" hidden="1" outlineLevel="2" x14ac:dyDescent="0.25">
      <c r="A43" s="27"/>
      <c r="B43" s="11" t="str">
        <f>CONCATENATE("          ", "6279", " - ", "GENERAL EXPENSE")</f>
        <v xml:space="preserve">          6279 - GENERAL EXPENSE</v>
      </c>
      <c r="C43" s="11"/>
      <c r="D43" s="7"/>
      <c r="E43" s="2"/>
      <c r="F43" s="6">
        <f t="shared" si="16"/>
        <v>0</v>
      </c>
      <c r="G43" s="2"/>
      <c r="H43" s="7">
        <v>200</v>
      </c>
      <c r="I43" s="2"/>
      <c r="J43" s="6">
        <f t="shared" si="17"/>
        <v>0</v>
      </c>
      <c r="K43" s="2"/>
      <c r="L43" s="7">
        <f t="shared" si="18"/>
        <v>-200</v>
      </c>
      <c r="M43" s="2"/>
      <c r="N43" s="6">
        <f t="shared" si="19"/>
        <v>-1</v>
      </c>
      <c r="O43" s="11"/>
      <c r="P43" s="7">
        <v>170</v>
      </c>
      <c r="Q43" s="2"/>
      <c r="R43" s="6">
        <f t="shared" si="20"/>
        <v>0</v>
      </c>
      <c r="S43" s="2"/>
      <c r="T43" s="7">
        <v>800</v>
      </c>
      <c r="U43" s="2"/>
      <c r="V43" s="6">
        <f t="shared" si="21"/>
        <v>0</v>
      </c>
      <c r="W43" s="2"/>
      <c r="X43" s="7">
        <f t="shared" si="22"/>
        <v>-630</v>
      </c>
      <c r="Y43" s="2"/>
      <c r="Z43" s="6">
        <f t="shared" si="23"/>
        <v>-0.78749999999999998</v>
      </c>
    </row>
    <row r="44" spans="1:26" s="28" customFormat="1" outlineLevel="1" collapsed="1" x14ac:dyDescent="0.25">
      <c r="A44" s="29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3500</v>
      </c>
      <c r="E44" s="1"/>
      <c r="F44" s="5">
        <f t="shared" si="16"/>
        <v>0</v>
      </c>
      <c r="G44" s="1"/>
      <c r="H44" s="1">
        <f>SUM(OSRRefH22_4x_0)</f>
        <v>3500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4"/>
      <c r="P44" s="1">
        <f>SUM(OSRRefP22_4x_0)</f>
        <v>14000</v>
      </c>
      <c r="Q44" s="1"/>
      <c r="R44" s="5">
        <f t="shared" si="20"/>
        <v>0</v>
      </c>
      <c r="S44" s="1"/>
      <c r="T44" s="1">
        <f>SUM(OSRRefT22_4x_0)</f>
        <v>14000</v>
      </c>
      <c r="U44" s="1"/>
      <c r="V44" s="5">
        <f t="shared" si="21"/>
        <v>0</v>
      </c>
      <c r="W44" s="1"/>
      <c r="X44" s="1">
        <f t="shared" si="22"/>
        <v>0</v>
      </c>
      <c r="Y44" s="1"/>
      <c r="Z44" s="5">
        <f t="shared" si="23"/>
        <v>0</v>
      </c>
    </row>
    <row r="45" spans="1:26" s="24" customFormat="1" hidden="1" outlineLevel="2" x14ac:dyDescent="0.25">
      <c r="A45" s="27"/>
      <c r="B45" s="11" t="str">
        <f>CONCATENATE("          ", "6371", " - ", "COMPUTER SOFTWARE MAINTENANCE")</f>
        <v xml:space="preserve">          6371 - COMPUTER SOFTWARE MAINTENANCE</v>
      </c>
      <c r="C45" s="11"/>
      <c r="D45" s="7">
        <v>3500</v>
      </c>
      <c r="E45" s="2"/>
      <c r="F45" s="6">
        <f t="shared" si="16"/>
        <v>0</v>
      </c>
      <c r="G45" s="2"/>
      <c r="H45" s="7">
        <v>3500</v>
      </c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>
        <v>14000</v>
      </c>
      <c r="Q45" s="2"/>
      <c r="R45" s="6">
        <f t="shared" si="20"/>
        <v>0</v>
      </c>
      <c r="S45" s="2"/>
      <c r="T45" s="7">
        <v>14000</v>
      </c>
      <c r="U45" s="2"/>
      <c r="V45" s="6">
        <f t="shared" si="21"/>
        <v>0</v>
      </c>
      <c r="W45" s="2"/>
      <c r="X45" s="7">
        <f t="shared" si="22"/>
        <v>0</v>
      </c>
      <c r="Y45" s="2"/>
      <c r="Z45" s="6">
        <f t="shared" si="23"/>
        <v>0</v>
      </c>
    </row>
    <row r="46" spans="1:26" s="28" customFormat="1" outlineLevel="1" collapsed="1" x14ac:dyDescent="0.25">
      <c r="A46" s="29"/>
      <c r="B46" s="14" t="str">
        <f>CONCATENATE("     ","Supplies                                          ")</f>
        <v xml:space="preserve">     Supplies                                          </v>
      </c>
      <c r="C46" s="14"/>
      <c r="D46" s="1">
        <f>SUM(OSRRefD22_5x_0)</f>
        <v>483.88</v>
      </c>
      <c r="E46" s="1"/>
      <c r="F46" s="5">
        <f t="shared" si="16"/>
        <v>0</v>
      </c>
      <c r="G46" s="1"/>
      <c r="H46" s="1">
        <f>SUM(OSRRefH22_5x_0)</f>
        <v>342</v>
      </c>
      <c r="I46" s="1"/>
      <c r="J46" s="5">
        <f t="shared" si="17"/>
        <v>0</v>
      </c>
      <c r="K46" s="1"/>
      <c r="L46" s="1">
        <f t="shared" si="18"/>
        <v>141.88</v>
      </c>
      <c r="M46" s="1"/>
      <c r="N46" s="5">
        <f t="shared" si="19"/>
        <v>0.41485380116959064</v>
      </c>
      <c r="O46" s="14"/>
      <c r="P46" s="1">
        <f>SUM(OSRRefP22_5x_0)</f>
        <v>528.41</v>
      </c>
      <c r="Q46" s="1"/>
      <c r="R46" s="5">
        <f t="shared" si="20"/>
        <v>0</v>
      </c>
      <c r="S46" s="1"/>
      <c r="T46" s="1">
        <f>SUM(OSRRefT22_5x_0)</f>
        <v>1368</v>
      </c>
      <c r="U46" s="1"/>
      <c r="V46" s="5">
        <f t="shared" si="21"/>
        <v>0</v>
      </c>
      <c r="W46" s="1"/>
      <c r="X46" s="1">
        <f t="shared" si="22"/>
        <v>-839.59</v>
      </c>
      <c r="Y46" s="1"/>
      <c r="Z46" s="5">
        <f t="shared" si="23"/>
        <v>-0.61373538011695905</v>
      </c>
    </row>
    <row r="47" spans="1:26" s="24" customFormat="1" hidden="1" outlineLevel="2" x14ac:dyDescent="0.25">
      <c r="A47" s="27"/>
      <c r="B47" s="11" t="str">
        <f>CONCATENATE("          ", "6234", " - ", "EXPENDABLE SUPPLIES &amp; EQUIPMEN")</f>
        <v xml:space="preserve">          6234 - EXPENDABLE SUPPLIES &amp; EQUIPMEN</v>
      </c>
      <c r="C47" s="11"/>
      <c r="D47" s="7"/>
      <c r="E47" s="2"/>
      <c r="F47" s="6">
        <f t="shared" si="16"/>
        <v>0</v>
      </c>
      <c r="G47" s="2"/>
      <c r="H47" s="7">
        <v>342</v>
      </c>
      <c r="I47" s="2"/>
      <c r="J47" s="6">
        <f t="shared" si="17"/>
        <v>0</v>
      </c>
      <c r="K47" s="2"/>
      <c r="L47" s="7">
        <f t="shared" si="18"/>
        <v>-342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1368</v>
      </c>
      <c r="U47" s="2"/>
      <c r="V47" s="6">
        <f t="shared" si="21"/>
        <v>0</v>
      </c>
      <c r="W47" s="2"/>
      <c r="X47" s="7">
        <f t="shared" si="22"/>
        <v>-1368</v>
      </c>
      <c r="Y47" s="2"/>
      <c r="Z47" s="6">
        <f t="shared" si="23"/>
        <v>-1</v>
      </c>
    </row>
    <row r="48" spans="1:26" s="24" customFormat="1" hidden="1" outlineLevel="2" x14ac:dyDescent="0.25">
      <c r="A48" s="27"/>
      <c r="B48" s="11" t="str">
        <f>CONCATENATE("          ", "6241", " - ", "OFFICE EXPENSE")</f>
        <v xml:space="preserve">          6241 - OFFICE EXPENSE</v>
      </c>
      <c r="C48" s="11"/>
      <c r="D48" s="7">
        <v>483.88</v>
      </c>
      <c r="E48" s="2"/>
      <c r="F48" s="6">
        <f t="shared" si="16"/>
        <v>0</v>
      </c>
      <c r="G48" s="2"/>
      <c r="H48" s="7"/>
      <c r="I48" s="2"/>
      <c r="J48" s="6">
        <f t="shared" si="17"/>
        <v>0</v>
      </c>
      <c r="K48" s="2"/>
      <c r="L48" s="7">
        <f t="shared" si="18"/>
        <v>483.88</v>
      </c>
      <c r="M48" s="2"/>
      <c r="N48" s="6">
        <f t="shared" si="19"/>
        <v>0</v>
      </c>
      <c r="O48" s="11"/>
      <c r="P48" s="7">
        <v>528.41</v>
      </c>
      <c r="Q48" s="2"/>
      <c r="R48" s="6">
        <f t="shared" si="20"/>
        <v>0</v>
      </c>
      <c r="S48" s="2"/>
      <c r="T48" s="7"/>
      <c r="U48" s="2"/>
      <c r="V48" s="6">
        <f t="shared" si="21"/>
        <v>0</v>
      </c>
      <c r="W48" s="2"/>
      <c r="X48" s="7">
        <f t="shared" si="22"/>
        <v>528.41</v>
      </c>
      <c r="Y48" s="2"/>
      <c r="Z48" s="6">
        <f t="shared" si="23"/>
        <v>0</v>
      </c>
    </row>
    <row r="49" spans="1:26" s="28" customFormat="1" outlineLevel="1" collapsed="1" x14ac:dyDescent="0.25">
      <c r="A49" s="29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SUM(OSRRefD22_6x_0)</f>
        <v>150</v>
      </c>
      <c r="E49" s="1"/>
      <c r="F49" s="5">
        <f t="shared" ref="F49:F51" si="24">IF(D$12=0,0,D49/D$12)</f>
        <v>0</v>
      </c>
      <c r="G49" s="1"/>
      <c r="H49" s="1">
        <f>SUM(OSRRefH22_6x_0)</f>
        <v>83</v>
      </c>
      <c r="I49" s="1"/>
      <c r="J49" s="5">
        <f t="shared" ref="J49:J51" si="25">IF(H$12=0,0,H49/H$12)</f>
        <v>0</v>
      </c>
      <c r="K49" s="1"/>
      <c r="L49" s="1">
        <f t="shared" ref="L49:L51" si="26">+D49-H49</f>
        <v>67</v>
      </c>
      <c r="M49" s="1"/>
      <c r="N49" s="5">
        <f t="shared" ref="N49:N51" si="27">IF(H49=0,0,L49/H49)</f>
        <v>0.80722891566265065</v>
      </c>
      <c r="O49" s="14"/>
      <c r="P49" s="1">
        <f>SUM(OSRRefP22_6x_0)</f>
        <v>358</v>
      </c>
      <c r="Q49" s="1"/>
      <c r="R49" s="5">
        <f t="shared" ref="R49:R51" si="28">IF(P$12=0,0,P49/P$12)</f>
        <v>0</v>
      </c>
      <c r="S49" s="1"/>
      <c r="T49" s="1">
        <f>SUM(OSRRefT22_6x_0)</f>
        <v>332</v>
      </c>
      <c r="U49" s="1"/>
      <c r="V49" s="5">
        <f t="shared" ref="V49:V51" si="29">IF(T$12=0,0,T49/T$12)</f>
        <v>0</v>
      </c>
      <c r="W49" s="1"/>
      <c r="X49" s="1">
        <f t="shared" ref="X49:X51" si="30">+P49-T49</f>
        <v>26</v>
      </c>
      <c r="Y49" s="1"/>
      <c r="Z49" s="5">
        <f t="shared" ref="Z49:Z51" si="31">IF(T49=0,0,X49/T49)</f>
        <v>7.8313253012048195E-2</v>
      </c>
    </row>
    <row r="50" spans="1:26" s="24" customFormat="1" hidden="1" outlineLevel="2" x14ac:dyDescent="0.25">
      <c r="A50" s="27"/>
      <c r="B50" s="11" t="str">
        <f>CONCATENATE("          ", "6303", " - ", "DATA PHONE LINES")</f>
        <v xml:space="preserve">          6303 - DATA PHONE LINES</v>
      </c>
      <c r="C50" s="11"/>
      <c r="D50" s="7"/>
      <c r="E50" s="2"/>
      <c r="F50" s="6">
        <f t="shared" si="24"/>
        <v>0</v>
      </c>
      <c r="G50" s="2"/>
      <c r="H50" s="7">
        <v>58</v>
      </c>
      <c r="I50" s="2"/>
      <c r="J50" s="6">
        <f t="shared" si="25"/>
        <v>0</v>
      </c>
      <c r="K50" s="2"/>
      <c r="L50" s="7">
        <f t="shared" si="26"/>
        <v>-58</v>
      </c>
      <c r="M50" s="2"/>
      <c r="N50" s="6">
        <f t="shared" si="27"/>
        <v>-1</v>
      </c>
      <c r="O50" s="11"/>
      <c r="P50" s="7"/>
      <c r="Q50" s="2"/>
      <c r="R50" s="6">
        <f t="shared" si="28"/>
        <v>0</v>
      </c>
      <c r="S50" s="2"/>
      <c r="T50" s="7">
        <v>232</v>
      </c>
      <c r="U50" s="2"/>
      <c r="V50" s="6">
        <f t="shared" si="29"/>
        <v>0</v>
      </c>
      <c r="W50" s="2"/>
      <c r="X50" s="7">
        <f t="shared" si="30"/>
        <v>-232</v>
      </c>
      <c r="Y50" s="2"/>
      <c r="Z50" s="6">
        <f t="shared" si="31"/>
        <v>-1</v>
      </c>
    </row>
    <row r="51" spans="1:26" s="24" customFormat="1" hidden="1" outlineLevel="2" x14ac:dyDescent="0.25">
      <c r="A51" s="27"/>
      <c r="B51" s="11" t="str">
        <f>CONCATENATE("          ", "6309", " - ", "TELEPHONE")</f>
        <v xml:space="preserve">          6309 - TELEPHONE</v>
      </c>
      <c r="C51" s="11"/>
      <c r="D51" s="7">
        <v>150</v>
      </c>
      <c r="E51" s="2"/>
      <c r="F51" s="6">
        <f t="shared" si="24"/>
        <v>0</v>
      </c>
      <c r="G51" s="2"/>
      <c r="H51" s="7">
        <v>25</v>
      </c>
      <c r="I51" s="2"/>
      <c r="J51" s="6">
        <f t="shared" si="25"/>
        <v>0</v>
      </c>
      <c r="K51" s="2"/>
      <c r="L51" s="7">
        <f t="shared" si="26"/>
        <v>125</v>
      </c>
      <c r="M51" s="2"/>
      <c r="N51" s="6">
        <f t="shared" si="27"/>
        <v>5</v>
      </c>
      <c r="O51" s="11"/>
      <c r="P51" s="7">
        <v>358</v>
      </c>
      <c r="Q51" s="2"/>
      <c r="R51" s="6">
        <f t="shared" si="28"/>
        <v>0</v>
      </c>
      <c r="S51" s="2"/>
      <c r="T51" s="7">
        <v>100</v>
      </c>
      <c r="U51" s="2"/>
      <c r="V51" s="6">
        <f t="shared" si="29"/>
        <v>0</v>
      </c>
      <c r="W51" s="2"/>
      <c r="X51" s="7">
        <f t="shared" si="30"/>
        <v>258</v>
      </c>
      <c r="Y51" s="2"/>
      <c r="Z51" s="6">
        <f t="shared" si="31"/>
        <v>2.58</v>
      </c>
    </row>
    <row r="52" spans="1:26" s="28" customFormat="1" outlineLevel="1" collapsed="1" x14ac:dyDescent="0.25">
      <c r="A52" s="29"/>
      <c r="B52" s="14" t="str">
        <f>CONCATENATE("     ","Training                                          ")</f>
        <v xml:space="preserve">     Training                                          </v>
      </c>
      <c r="C52" s="14"/>
      <c r="D52" s="1">
        <f>SUM(OSRRefD22_7x_0)</f>
        <v>0</v>
      </c>
      <c r="E52" s="1"/>
      <c r="F52" s="5">
        <f t="shared" ref="F52:F55" si="32">IF(D$12=0,0,D52/D$12)</f>
        <v>0</v>
      </c>
      <c r="G52" s="1"/>
      <c r="H52" s="1">
        <f>SUM(OSRRefH22_7x_0)</f>
        <v>300</v>
      </c>
      <c r="I52" s="1"/>
      <c r="J52" s="5">
        <f t="shared" ref="J52:J55" si="33">IF(H$12=0,0,H52/H$12)</f>
        <v>0</v>
      </c>
      <c r="K52" s="1"/>
      <c r="L52" s="1">
        <f t="shared" ref="L52:L55" si="34">+D52-H52</f>
        <v>-300</v>
      </c>
      <c r="M52" s="1"/>
      <c r="N52" s="5">
        <f t="shared" ref="N52:N55" si="35">IF(H52=0,0,L52/H52)</f>
        <v>-1</v>
      </c>
      <c r="O52" s="14"/>
      <c r="P52" s="1">
        <f>SUM(OSRRefP22_7x_0)</f>
        <v>0</v>
      </c>
      <c r="Q52" s="1"/>
      <c r="R52" s="5">
        <f t="shared" ref="R52:R55" si="36">IF(P$12=0,0,P52/P$12)</f>
        <v>0</v>
      </c>
      <c r="S52" s="1"/>
      <c r="T52" s="1">
        <f>SUM(OSRRefT22_7x_0)</f>
        <v>1200</v>
      </c>
      <c r="U52" s="1"/>
      <c r="V52" s="5">
        <f t="shared" ref="V52:V55" si="37">IF(T$12=0,0,T52/T$12)</f>
        <v>0</v>
      </c>
      <c r="W52" s="1"/>
      <c r="X52" s="1">
        <f t="shared" ref="X52:X55" si="38">+P52-T52</f>
        <v>-1200</v>
      </c>
      <c r="Y52" s="1"/>
      <c r="Z52" s="5">
        <f t="shared" ref="Z52:Z55" si="39">IF(T52=0,0,X52/T52)</f>
        <v>-1</v>
      </c>
    </row>
    <row r="53" spans="1:26" s="24" customFormat="1" hidden="1" outlineLevel="2" x14ac:dyDescent="0.25">
      <c r="A53" s="27"/>
      <c r="B53" s="11" t="str">
        <f>CONCATENATE("          ", "6376", " - ", "TRAINING")</f>
        <v xml:space="preserve">          6376 - TRAINING</v>
      </c>
      <c r="C53" s="11"/>
      <c r="D53" s="7"/>
      <c r="E53" s="2"/>
      <c r="F53" s="6">
        <f t="shared" si="32"/>
        <v>0</v>
      </c>
      <c r="G53" s="2"/>
      <c r="H53" s="7">
        <v>300</v>
      </c>
      <c r="I53" s="2"/>
      <c r="J53" s="6">
        <f t="shared" si="33"/>
        <v>0</v>
      </c>
      <c r="K53" s="2"/>
      <c r="L53" s="7">
        <f t="shared" si="34"/>
        <v>-300</v>
      </c>
      <c r="M53" s="2"/>
      <c r="N53" s="6">
        <f t="shared" si="35"/>
        <v>-1</v>
      </c>
      <c r="O53" s="11"/>
      <c r="P53" s="7"/>
      <c r="Q53" s="2"/>
      <c r="R53" s="6">
        <f t="shared" si="36"/>
        <v>0</v>
      </c>
      <c r="S53" s="2"/>
      <c r="T53" s="7">
        <v>1200</v>
      </c>
      <c r="U53" s="2"/>
      <c r="V53" s="6">
        <f t="shared" si="37"/>
        <v>0</v>
      </c>
      <c r="W53" s="2"/>
      <c r="X53" s="7">
        <f t="shared" si="38"/>
        <v>-1200</v>
      </c>
      <c r="Y53" s="2"/>
      <c r="Z53" s="6">
        <f t="shared" si="39"/>
        <v>-1</v>
      </c>
    </row>
    <row r="54" spans="1:26" s="28" customFormat="1" outlineLevel="1" collapsed="1" x14ac:dyDescent="0.25">
      <c r="A54" s="29"/>
      <c r="B54" s="14" t="str">
        <f>CONCATENATE("     ","Travel                                            ")</f>
        <v xml:space="preserve">     Travel                                            </v>
      </c>
      <c r="C54" s="14"/>
      <c r="D54" s="1">
        <f>SUM(OSRRefD22_8x_0)</f>
        <v>0</v>
      </c>
      <c r="E54" s="1"/>
      <c r="F54" s="5">
        <f t="shared" si="32"/>
        <v>0</v>
      </c>
      <c r="G54" s="1"/>
      <c r="H54" s="1">
        <f>SUM(OSRRefH22_8x_0)</f>
        <v>0</v>
      </c>
      <c r="I54" s="1"/>
      <c r="J54" s="5">
        <f t="shared" si="33"/>
        <v>0</v>
      </c>
      <c r="K54" s="1"/>
      <c r="L54" s="1">
        <f t="shared" si="34"/>
        <v>0</v>
      </c>
      <c r="M54" s="1"/>
      <c r="N54" s="5">
        <f t="shared" si="35"/>
        <v>0</v>
      </c>
      <c r="O54" s="14"/>
      <c r="P54" s="1">
        <f>SUM(OSRRefP22_8x_0)</f>
        <v>595</v>
      </c>
      <c r="Q54" s="1"/>
      <c r="R54" s="5">
        <f t="shared" si="36"/>
        <v>0</v>
      </c>
      <c r="S54" s="1"/>
      <c r="T54" s="1">
        <f>SUM(OSRRefT22_8x_0)</f>
        <v>0</v>
      </c>
      <c r="U54" s="1"/>
      <c r="V54" s="5">
        <f t="shared" si="37"/>
        <v>0</v>
      </c>
      <c r="W54" s="1"/>
      <c r="X54" s="1">
        <f t="shared" si="38"/>
        <v>595</v>
      </c>
      <c r="Y54" s="1"/>
      <c r="Z54" s="5">
        <f t="shared" si="39"/>
        <v>0</v>
      </c>
    </row>
    <row r="55" spans="1:26" s="24" customFormat="1" hidden="1" outlineLevel="2" x14ac:dyDescent="0.25">
      <c r="A55" s="27"/>
      <c r="B55" s="11" t="str">
        <f>CONCATENATE("          ", "6292", " - ", "TRAVEL/CONFERENCE")</f>
        <v xml:space="preserve">          6292 - TRAVEL/CONFERENCE</v>
      </c>
      <c r="C55" s="11"/>
      <c r="D55" s="7"/>
      <c r="E55" s="2"/>
      <c r="F55" s="6">
        <f t="shared" si="32"/>
        <v>0</v>
      </c>
      <c r="G55" s="2"/>
      <c r="H55" s="7"/>
      <c r="I55" s="2"/>
      <c r="J55" s="6">
        <f t="shared" si="33"/>
        <v>0</v>
      </c>
      <c r="K55" s="2"/>
      <c r="L55" s="7">
        <f t="shared" si="34"/>
        <v>0</v>
      </c>
      <c r="M55" s="2"/>
      <c r="N55" s="6">
        <f t="shared" si="35"/>
        <v>0</v>
      </c>
      <c r="O55" s="11"/>
      <c r="P55" s="7">
        <v>595</v>
      </c>
      <c r="Q55" s="2"/>
      <c r="R55" s="6">
        <f t="shared" si="36"/>
        <v>0</v>
      </c>
      <c r="S55" s="2"/>
      <c r="T55" s="7"/>
      <c r="U55" s="2"/>
      <c r="V55" s="6">
        <f t="shared" si="37"/>
        <v>0</v>
      </c>
      <c r="W55" s="2"/>
      <c r="X55" s="7">
        <f t="shared" si="38"/>
        <v>595</v>
      </c>
      <c r="Y55" s="2"/>
      <c r="Z55" s="6">
        <f t="shared" si="39"/>
        <v>0</v>
      </c>
    </row>
    <row r="56" spans="1:26" s="60" customFormat="1" x14ac:dyDescent="0.25">
      <c r="A56" s="36"/>
      <c r="B56" s="36"/>
      <c r="C56" s="36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5" t="s">
        <v>293</v>
      </c>
      <c r="C57" s="10"/>
      <c r="D57" s="4">
        <f>SUM(0)</f>
        <v>0</v>
      </c>
      <c r="E57" s="4"/>
      <c r="F57" s="12">
        <f>IF(D$12=0,0,D57/D$12)</f>
        <v>0</v>
      </c>
      <c r="G57" s="4"/>
      <c r="H57" s="4">
        <f>SUM(0)</f>
        <v>0</v>
      </c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>
        <f>SUM(0)</f>
        <v>0</v>
      </c>
      <c r="Q57" s="4"/>
      <c r="R57" s="12">
        <f>IF(P$12=0,0,P57/P$12)</f>
        <v>0</v>
      </c>
      <c r="S57" s="4"/>
      <c r="T57" s="4">
        <f>SUM(0)</f>
        <v>0</v>
      </c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6" t="s">
        <v>277</v>
      </c>
      <c r="C59" s="26"/>
      <c r="D59" s="21">
        <f>+D16-D18+D57</f>
        <v>-22630.600000000002</v>
      </c>
      <c r="E59" s="13"/>
      <c r="F59" s="20">
        <f>IF(D$12=0,0,D59/D$12)</f>
        <v>0</v>
      </c>
      <c r="G59" s="13"/>
      <c r="H59" s="21">
        <f>+H16-H18+H57</f>
        <v>-19867.329675000001</v>
      </c>
      <c r="I59" s="13"/>
      <c r="J59" s="20">
        <f>IF(H$12=0,0,H59/H$12)</f>
        <v>0</v>
      </c>
      <c r="K59" s="15"/>
      <c r="L59" s="21">
        <f>+D59-H59</f>
        <v>-2763.2703250000013</v>
      </c>
      <c r="M59" s="15"/>
      <c r="N59" s="20">
        <f>IF(H59=0,0,L59/H59)</f>
        <v>0.13908614646271034</v>
      </c>
      <c r="O59" s="25"/>
      <c r="P59" s="21">
        <f>+P16-P18+P57</f>
        <v>-79066.929999999993</v>
      </c>
      <c r="Q59" s="13"/>
      <c r="R59" s="20">
        <f>IF(P$12=0,0,P59/P$12)</f>
        <v>0</v>
      </c>
      <c r="S59" s="13"/>
      <c r="T59" s="21">
        <f>+T16-T18+T57</f>
        <v>-74083.186829999991</v>
      </c>
      <c r="U59" s="13"/>
      <c r="V59" s="20">
        <f>IF(T$12=0,0,T59/T$12)</f>
        <v>0</v>
      </c>
      <c r="W59" s="15"/>
      <c r="X59" s="21">
        <f>+P59-T59</f>
        <v>-4983.7431700000016</v>
      </c>
      <c r="Y59" s="15"/>
      <c r="Z59" s="20">
        <f>IF(T59=0,0,X59/T59)</f>
        <v>6.7272256813631484E-2</v>
      </c>
    </row>
    <row r="60" spans="1:26" x14ac:dyDescent="0.25">
      <c r="A60" s="9"/>
      <c r="B60" s="10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52"/>
      <c r="B61" s="10" t="s">
        <v>128</v>
      </c>
      <c r="C61" s="10"/>
      <c r="D61" s="4"/>
      <c r="E61" s="4"/>
      <c r="F61" s="12">
        <f>IF(D$12=0,0,D61/D$12)</f>
        <v>0</v>
      </c>
      <c r="G61" s="4"/>
      <c r="H61" s="4"/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/>
      <c r="Q61" s="4"/>
      <c r="R61" s="12">
        <f>IF(P$12=0,0,P61/P$12)</f>
        <v>0</v>
      </c>
      <c r="S61" s="4"/>
      <c r="T61" s="4"/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6" t="s">
        <v>126</v>
      </c>
      <c r="C63" s="26"/>
      <c r="D63" s="31">
        <f>+D59-D61</f>
        <v>-22630.600000000002</v>
      </c>
      <c r="E63" s="13"/>
      <c r="F63" s="33">
        <f>IF(D$12=0,0,D63/D$12)</f>
        <v>0</v>
      </c>
      <c r="G63" s="13"/>
      <c r="H63" s="31">
        <f>+H59-H61</f>
        <v>-19867.329675000001</v>
      </c>
      <c r="I63" s="13"/>
      <c r="J63" s="33">
        <f>IF(H$12=0,0,H63/H$12)</f>
        <v>0</v>
      </c>
      <c r="K63" s="15"/>
      <c r="L63" s="31">
        <f>D63-H63</f>
        <v>-2763.2703250000013</v>
      </c>
      <c r="M63" s="15"/>
      <c r="N63" s="33">
        <f>IF(H63=0,0,L63/H63)</f>
        <v>0.13908614646271034</v>
      </c>
      <c r="O63" s="25"/>
      <c r="P63" s="31">
        <f>+P59-P61</f>
        <v>-79066.929999999993</v>
      </c>
      <c r="Q63" s="13"/>
      <c r="R63" s="33">
        <f>IF(P$12=0,0,P63/P$12)</f>
        <v>0</v>
      </c>
      <c r="S63" s="13"/>
      <c r="T63" s="31">
        <f>+T59-T61</f>
        <v>-74083.186829999991</v>
      </c>
      <c r="U63" s="13"/>
      <c r="V63" s="33">
        <f>IF(T$12=0,0,T63/T$12)</f>
        <v>0</v>
      </c>
      <c r="W63" s="15"/>
      <c r="X63" s="31">
        <f>P63-T63</f>
        <v>-4983.7431700000016</v>
      </c>
      <c r="Y63" s="15"/>
      <c r="Z63" s="33">
        <f>IF(T63=0,0,X63/T63)</f>
        <v>6.7272256813631484E-2</v>
      </c>
    </row>
    <row r="64" spans="1:26" ht="15.75" thickTop="1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6" t="s">
        <v>294</v>
      </c>
      <c r="C66" s="26"/>
      <c r="D66" s="35">
        <f>SUM(D63:D65)</f>
        <v>-22630.600000000002</v>
      </c>
      <c r="E66" s="13"/>
      <c r="F66" s="32">
        <f>IF(D$12=0,0,D66/D$12)</f>
        <v>0</v>
      </c>
      <c r="G66" s="13"/>
      <c r="H66" s="35">
        <f>SUM(H63:H65)</f>
        <v>-19867.329675000001</v>
      </c>
      <c r="I66" s="13"/>
      <c r="J66" s="32">
        <f>IF(H$12=0,0,H66/H$12)</f>
        <v>0</v>
      </c>
      <c r="K66" s="15"/>
      <c r="L66" s="35">
        <f>+D66-H66</f>
        <v>-2763.2703250000013</v>
      </c>
      <c r="M66" s="15"/>
      <c r="N66" s="32">
        <f>IF(H66=0,0,L66/H66)</f>
        <v>0.13908614646271034</v>
      </c>
      <c r="O66" s="25"/>
      <c r="P66" s="35">
        <f>SUM(P63:P65)</f>
        <v>-79066.929999999993</v>
      </c>
      <c r="Q66" s="13"/>
      <c r="R66" s="32">
        <f>IF(P$12=0,0,P66/P$12)</f>
        <v>0</v>
      </c>
      <c r="S66" s="13"/>
      <c r="T66" s="35">
        <f>SUM(T63:T65)</f>
        <v>-74083.186829999991</v>
      </c>
      <c r="U66" s="13"/>
      <c r="V66" s="32">
        <f>IF(T$12=0,0,T66/T$12)</f>
        <v>0</v>
      </c>
      <c r="W66" s="15"/>
      <c r="X66" s="35">
        <f>+P66-T66</f>
        <v>-4983.7431700000016</v>
      </c>
      <c r="Y66" s="15"/>
      <c r="Z66" s="32">
        <f>IF(T66=0,0,X66/T66)</f>
        <v>6.7272256813631484E-2</v>
      </c>
    </row>
    <row r="67" spans="1:26" ht="15.75" thickTop="1" x14ac:dyDescent="0.25">
      <c r="A67" s="9"/>
      <c r="C67" s="9"/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59">
        <v>44517.962875613426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62" t="s">
        <v>56</v>
      </c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A70" s="9"/>
      <c r="B70" s="57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","433", " - ", "Hillside Dining Hall")</f>
        <v>Department 433 - Hillside Dining Hall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521058.73</v>
      </c>
      <c r="E12" s="4"/>
      <c r="F12" s="12"/>
      <c r="G12" s="4"/>
      <c r="H12" s="4">
        <f>SUM(OSRRefH13x_0)</f>
        <v>567000</v>
      </c>
      <c r="I12" s="4"/>
      <c r="J12" s="12"/>
      <c r="K12" s="4"/>
      <c r="L12" s="4">
        <f t="shared" ref="L12:L16" si="0">+D12-H12</f>
        <v>-45941.270000000019</v>
      </c>
      <c r="M12" s="4"/>
      <c r="N12" s="12">
        <f t="shared" ref="N12:N16" si="1">IF(H12=0,0,L12/H12)</f>
        <v>-8.102516754850092E-2</v>
      </c>
      <c r="O12" s="10"/>
      <c r="P12" s="4">
        <f>SUM(OSRRefP13x_0)</f>
        <v>1309544.9200000002</v>
      </c>
      <c r="Q12" s="4"/>
      <c r="R12" s="12"/>
      <c r="S12" s="4"/>
      <c r="T12" s="4">
        <f>SUM(OSRRefT13x_0)</f>
        <v>1134000</v>
      </c>
      <c r="U12" s="4"/>
      <c r="V12" s="12"/>
      <c r="W12" s="4"/>
      <c r="X12" s="4">
        <f t="shared" ref="X12:X16" si="2">+P12-T12</f>
        <v>175544.92000000016</v>
      </c>
      <c r="Y12" s="4"/>
      <c r="Z12" s="12">
        <f t="shared" ref="Z12:Z16" si="3">IF(T12=0,0,X12/T12)</f>
        <v>0.15480151675485024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--439.11</f>
        <v>439.11</v>
      </c>
      <c r="E13" s="2"/>
      <c r="F13" s="19"/>
      <c r="G13" s="2"/>
      <c r="H13" s="2"/>
      <c r="I13" s="2"/>
      <c r="J13" s="19"/>
      <c r="K13" s="2"/>
      <c r="L13" s="2">
        <f t="shared" si="0"/>
        <v>439.11</v>
      </c>
      <c r="M13" s="2"/>
      <c r="N13" s="19">
        <f t="shared" si="1"/>
        <v>0</v>
      </c>
      <c r="O13" s="11"/>
      <c r="P13" s="2">
        <f>--1312.57</f>
        <v>1312.57</v>
      </c>
      <c r="Q13" s="2"/>
      <c r="R13" s="19"/>
      <c r="S13" s="2"/>
      <c r="T13" s="2"/>
      <c r="U13" s="2"/>
      <c r="V13" s="19"/>
      <c r="W13" s="2"/>
      <c r="X13" s="2">
        <f t="shared" si="2"/>
        <v>1312.57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567000</v>
      </c>
      <c r="I14" s="2"/>
      <c r="J14" s="19"/>
      <c r="K14" s="2"/>
      <c r="L14" s="2">
        <f t="shared" si="0"/>
        <v>-567000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1134000</v>
      </c>
      <c r="U14" s="2"/>
      <c r="V14" s="19"/>
      <c r="W14" s="2"/>
      <c r="X14" s="2">
        <f t="shared" si="2"/>
        <v>-1134000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--512611.43</f>
        <v>512611.43</v>
      </c>
      <c r="E15" s="2"/>
      <c r="F15" s="19"/>
      <c r="G15" s="2"/>
      <c r="H15" s="2"/>
      <c r="I15" s="2"/>
      <c r="J15" s="19"/>
      <c r="K15" s="2"/>
      <c r="L15" s="2">
        <f t="shared" si="0"/>
        <v>512611.43</v>
      </c>
      <c r="M15" s="2"/>
      <c r="N15" s="19">
        <f t="shared" si="1"/>
        <v>0</v>
      </c>
      <c r="O15" s="11"/>
      <c r="P15" s="2">
        <f>--1277473.52</f>
        <v>1277473.52</v>
      </c>
      <c r="Q15" s="2"/>
      <c r="R15" s="19"/>
      <c r="S15" s="2"/>
      <c r="T15" s="2"/>
      <c r="U15" s="2"/>
      <c r="V15" s="19"/>
      <c r="W15" s="2"/>
      <c r="X15" s="2">
        <f t="shared" si="2"/>
        <v>1277473.52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--8008.19</f>
        <v>8008.19</v>
      </c>
      <c r="E16" s="2"/>
      <c r="F16" s="19"/>
      <c r="G16" s="2"/>
      <c r="H16" s="2"/>
      <c r="I16" s="2"/>
      <c r="J16" s="19"/>
      <c r="K16" s="2"/>
      <c r="L16" s="2">
        <f t="shared" si="0"/>
        <v>8008.19</v>
      </c>
      <c r="M16" s="2"/>
      <c r="N16" s="19">
        <f t="shared" si="1"/>
        <v>0</v>
      </c>
      <c r="O16" s="11"/>
      <c r="P16" s="2">
        <f>--30758.83</f>
        <v>30758.83</v>
      </c>
      <c r="Q16" s="2"/>
      <c r="R16" s="19"/>
      <c r="S16" s="2"/>
      <c r="T16" s="2"/>
      <c r="U16" s="2"/>
      <c r="V16" s="19"/>
      <c r="W16" s="2"/>
      <c r="X16" s="2">
        <f t="shared" si="2"/>
        <v>30758.83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257</v>
      </c>
      <c r="C18" s="10"/>
      <c r="D18" s="4">
        <f>SUM(OSRRefD16x_0)</f>
        <v>153313.06</v>
      </c>
      <c r="E18" s="4"/>
      <c r="F18" s="12">
        <f t="shared" ref="F18:F21" si="4">IF(D$12=0,0,D18/D$12)</f>
        <v>0.29423374213497966</v>
      </c>
      <c r="G18" s="4"/>
      <c r="H18" s="4">
        <f>SUM(OSRRefH16x_0)</f>
        <v>153090</v>
      </c>
      <c r="I18" s="4"/>
      <c r="J18" s="12">
        <f t="shared" ref="J18:J21" si="5">IF(H$12=0,0,H18/H$12)</f>
        <v>0.27</v>
      </c>
      <c r="K18" s="4"/>
      <c r="L18" s="4">
        <f t="shared" ref="L18:L21" si="6">+D18-H18</f>
        <v>223.05999999999767</v>
      </c>
      <c r="M18" s="4"/>
      <c r="N18" s="12">
        <f t="shared" ref="N18:N21" si="7">IF(H18=0,0,L18/H18)</f>
        <v>1.4570514076686764E-3</v>
      </c>
      <c r="O18" s="10"/>
      <c r="P18" s="4">
        <f>SUM(OSRRefP16x_0)</f>
        <v>340181.94</v>
      </c>
      <c r="Q18" s="4"/>
      <c r="R18" s="12">
        <f t="shared" ref="R18:R21" si="8">IF(P$12=0,0,P18/P$12)</f>
        <v>0.25977111193711472</v>
      </c>
      <c r="S18" s="4"/>
      <c r="T18" s="4">
        <f>SUM(OSRRefT16x_0)</f>
        <v>336798</v>
      </c>
      <c r="U18" s="4"/>
      <c r="V18" s="12">
        <f t="shared" ref="V18:V21" si="9">IF(T$12=0,0,T18/T$12)</f>
        <v>0.29699999999999999</v>
      </c>
      <c r="W18" s="4"/>
      <c r="X18" s="4">
        <f t="shared" ref="X18:X21" si="10">+P18-T18</f>
        <v>3383.9400000000023</v>
      </c>
      <c r="Y18" s="4"/>
      <c r="Z18" s="12">
        <f t="shared" ref="Z18:Z21" si="11">IF(T18=0,0,X18/T18)</f>
        <v>1.004738745479487E-2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153090</v>
      </c>
      <c r="I19" s="2"/>
      <c r="J19" s="19">
        <f t="shared" si="5"/>
        <v>0.27</v>
      </c>
      <c r="K19" s="2"/>
      <c r="L19" s="2">
        <f t="shared" si="6"/>
        <v>-153090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336798</v>
      </c>
      <c r="U19" s="2"/>
      <c r="V19" s="19">
        <f t="shared" si="9"/>
        <v>0.29699999999999999</v>
      </c>
      <c r="W19" s="2"/>
      <c r="X19" s="2">
        <f t="shared" si="10"/>
        <v>-336798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155128.06</v>
      </c>
      <c r="E20" s="2"/>
      <c r="F20" s="19">
        <f t="shared" si="4"/>
        <v>0.29771703469971611</v>
      </c>
      <c r="G20" s="2"/>
      <c r="H20" s="2"/>
      <c r="I20" s="2"/>
      <c r="J20" s="19">
        <f t="shared" si="5"/>
        <v>0</v>
      </c>
      <c r="K20" s="2"/>
      <c r="L20" s="2">
        <f t="shared" si="6"/>
        <v>155128.06</v>
      </c>
      <c r="M20" s="2"/>
      <c r="N20" s="19">
        <f t="shared" si="7"/>
        <v>0</v>
      </c>
      <c r="O20" s="11"/>
      <c r="P20" s="2">
        <v>366489.94</v>
      </c>
      <c r="Q20" s="2"/>
      <c r="R20" s="19">
        <f t="shared" si="8"/>
        <v>0.27986053353557355</v>
      </c>
      <c r="S20" s="2"/>
      <c r="T20" s="2"/>
      <c r="U20" s="2"/>
      <c r="V20" s="19">
        <f t="shared" si="9"/>
        <v>0</v>
      </c>
      <c r="W20" s="2"/>
      <c r="X20" s="2">
        <f t="shared" si="10"/>
        <v>366489.94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-1815</v>
      </c>
      <c r="E21" s="2"/>
      <c r="F21" s="19">
        <f t="shared" si="4"/>
        <v>-3.4832925647364167E-3</v>
      </c>
      <c r="G21" s="2"/>
      <c r="H21" s="2"/>
      <c r="I21" s="2"/>
      <c r="J21" s="19">
        <f t="shared" si="5"/>
        <v>0</v>
      </c>
      <c r="K21" s="2"/>
      <c r="L21" s="2">
        <f t="shared" si="6"/>
        <v>-1815</v>
      </c>
      <c r="M21" s="2"/>
      <c r="N21" s="19">
        <f t="shared" si="7"/>
        <v>0</v>
      </c>
      <c r="O21" s="11"/>
      <c r="P21" s="2">
        <v>-26308</v>
      </c>
      <c r="Q21" s="2"/>
      <c r="R21" s="19">
        <f t="shared" si="8"/>
        <v>-2.0089421598458796E-2</v>
      </c>
      <c r="S21" s="2"/>
      <c r="T21" s="2"/>
      <c r="U21" s="2"/>
      <c r="V21" s="19">
        <f t="shared" si="9"/>
        <v>0</v>
      </c>
      <c r="W21" s="2"/>
      <c r="X21" s="2">
        <f t="shared" si="10"/>
        <v>-26308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108</v>
      </c>
      <c r="C23" s="26"/>
      <c r="D23" s="21">
        <f>D12-D18</f>
        <v>367745.67</v>
      </c>
      <c r="E23" s="13"/>
      <c r="F23" s="20">
        <f>IF(D$12=0,0,D23/D$12)</f>
        <v>0.70576625786502034</v>
      </c>
      <c r="G23" s="13"/>
      <c r="H23" s="21">
        <f>H12-H18</f>
        <v>413910</v>
      </c>
      <c r="I23" s="13"/>
      <c r="J23" s="20">
        <f>IF(H$12=0,0,H23/H$12)</f>
        <v>0.73</v>
      </c>
      <c r="K23" s="15"/>
      <c r="L23" s="21">
        <f>+D23-H23</f>
        <v>-46164.330000000016</v>
      </c>
      <c r="M23" s="15"/>
      <c r="N23" s="20">
        <f>IF(H23=0,0,L23/H23)</f>
        <v>-0.11153228962818008</v>
      </c>
      <c r="O23" s="25"/>
      <c r="P23" s="21">
        <f>P12-P18</f>
        <v>969362.98000000021</v>
      </c>
      <c r="Q23" s="13"/>
      <c r="R23" s="20">
        <f>IF(P$12=0,0,P23/P$12)</f>
        <v>0.74022888806288534</v>
      </c>
      <c r="S23" s="13"/>
      <c r="T23" s="21">
        <f>T12-T18</f>
        <v>797202</v>
      </c>
      <c r="U23" s="13"/>
      <c r="V23" s="20">
        <f>IF(T$12=0,0,T23/T$12)</f>
        <v>0.70299999999999996</v>
      </c>
      <c r="W23" s="15"/>
      <c r="X23" s="21">
        <f>+P23-T23</f>
        <v>172160.98000000021</v>
      </c>
      <c r="Y23" s="15"/>
      <c r="Z23" s="20">
        <f>IF(T23=0,0,X23/T23)</f>
        <v>0.2159565329740771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295</v>
      </c>
      <c r="C25" s="10"/>
      <c r="D25" s="22">
        <f>SUM(OSRRefD22x_0)</f>
        <v>220502.01999999996</v>
      </c>
      <c r="E25" s="22"/>
      <c r="F25" s="34">
        <f t="shared" ref="F25:F36" si="12">IF(D$12=0,0,D25/D$12)</f>
        <v>0.42318074202499201</v>
      </c>
      <c r="G25" s="22"/>
      <c r="H25" s="22">
        <f>SUM(OSRRefH22x_0)</f>
        <v>203711.27737115385</v>
      </c>
      <c r="I25" s="22"/>
      <c r="J25" s="34">
        <f t="shared" ref="J25:J36" si="13">IF(H$12=0,0,H25/H$12)</f>
        <v>0.35927914880274048</v>
      </c>
      <c r="K25" s="4"/>
      <c r="L25" s="22">
        <f t="shared" ref="L25:L36" si="14">+D25-H25</f>
        <v>16790.742628846114</v>
      </c>
      <c r="M25" s="4"/>
      <c r="N25" s="34">
        <f t="shared" ref="N25:N36" si="15">IF(H25=0,0,L25/H25)</f>
        <v>8.2424217478417008E-2</v>
      </c>
      <c r="O25" s="10"/>
      <c r="P25" s="22">
        <f>SUM(OSRRefP22x_0)</f>
        <v>514038.09999999992</v>
      </c>
      <c r="Q25" s="22"/>
      <c r="R25" s="34">
        <f t="shared" ref="R25:R36" si="16">IF(P$12=0,0,P25/P$12)</f>
        <v>0.39253185755552383</v>
      </c>
      <c r="S25" s="22"/>
      <c r="T25" s="22">
        <f>SUM(OSRRefT22x_0)</f>
        <v>627184.88353615371</v>
      </c>
      <c r="U25" s="22"/>
      <c r="V25" s="34">
        <f t="shared" ref="V25:V36" si="17">IF(T$12=0,0,T25/T$12)</f>
        <v>0.55307308953805445</v>
      </c>
      <c r="W25" s="4"/>
      <c r="X25" s="22">
        <f t="shared" ref="X25:X36" si="18">+P25-T25</f>
        <v>-113146.78353615379</v>
      </c>
      <c r="Y25" s="4"/>
      <c r="Z25" s="34">
        <f t="shared" ref="Z25:Z36" si="19">IF(T25=0,0,X25/T25)</f>
        <v>-0.1804041942117878</v>
      </c>
    </row>
    <row r="26" spans="1:26" s="28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33055.050000000003</v>
      </c>
      <c r="E26" s="1"/>
      <c r="F26" s="5">
        <f t="shared" si="12"/>
        <v>6.3438242364733055E-2</v>
      </c>
      <c r="G26" s="1"/>
      <c r="H26" s="1">
        <f>SUM(OSRRefH22_0x_0)</f>
        <v>40192.250448076942</v>
      </c>
      <c r="I26" s="1"/>
      <c r="J26" s="5">
        <f t="shared" si="13"/>
        <v>7.0885803259394961E-2</v>
      </c>
      <c r="K26" s="1"/>
      <c r="L26" s="1">
        <f t="shared" si="14"/>
        <v>-7137.2004480769392</v>
      </c>
      <c r="M26" s="1"/>
      <c r="N26" s="5">
        <f t="shared" si="15"/>
        <v>-0.177576532005772</v>
      </c>
      <c r="O26" s="14"/>
      <c r="P26" s="1">
        <f>SUM(OSRRefP22_0x_0)</f>
        <v>96618.310000000012</v>
      </c>
      <c r="Q26" s="1"/>
      <c r="R26" s="5">
        <f t="shared" si="16"/>
        <v>7.3780065520776483E-2</v>
      </c>
      <c r="S26" s="1"/>
      <c r="T26" s="1">
        <f>SUM(OSRRefT22_0x_0)</f>
        <v>142347.98661307697</v>
      </c>
      <c r="U26" s="1"/>
      <c r="V26" s="5">
        <f t="shared" si="17"/>
        <v>0.12552732505562342</v>
      </c>
      <c r="W26" s="1"/>
      <c r="X26" s="1">
        <f t="shared" si="18"/>
        <v>-45729.676613076954</v>
      </c>
      <c r="Y26" s="1"/>
      <c r="Z26" s="5">
        <f t="shared" si="19"/>
        <v>-0.32125271105784609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7">
        <v>5565.21</v>
      </c>
      <c r="E27" s="2"/>
      <c r="F27" s="6">
        <f t="shared" si="12"/>
        <v>1.0680581054653859E-2</v>
      </c>
      <c r="G27" s="2"/>
      <c r="H27" s="7">
        <v>5970.2377557692298</v>
      </c>
      <c r="I27" s="2"/>
      <c r="J27" s="6">
        <f t="shared" si="13"/>
        <v>1.052951985144485E-2</v>
      </c>
      <c r="K27" s="2"/>
      <c r="L27" s="7">
        <f t="shared" si="14"/>
        <v>-405.02775576922977</v>
      </c>
      <c r="M27" s="2"/>
      <c r="N27" s="6">
        <f t="shared" si="15"/>
        <v>-6.7841143408039095E-2</v>
      </c>
      <c r="O27" s="11"/>
      <c r="P27" s="7">
        <v>13087.16</v>
      </c>
      <c r="Q27" s="2"/>
      <c r="R27" s="6">
        <f t="shared" si="16"/>
        <v>9.9936701674960479E-3</v>
      </c>
      <c r="S27" s="2"/>
      <c r="T27" s="7">
        <v>19541.340920769198</v>
      </c>
      <c r="U27" s="2"/>
      <c r="V27" s="6">
        <f t="shared" si="17"/>
        <v>1.7232223034188004E-2</v>
      </c>
      <c r="W27" s="2"/>
      <c r="X27" s="7">
        <f t="shared" si="18"/>
        <v>-6454.1809207691986</v>
      </c>
      <c r="Y27" s="2"/>
      <c r="Z27" s="6">
        <f t="shared" si="19"/>
        <v>-0.33028342051539955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3753.74</v>
      </c>
      <c r="E28" s="2"/>
      <c r="F28" s="6">
        <f t="shared" si="12"/>
        <v>7.2040631581011989E-3</v>
      </c>
      <c r="G28" s="2"/>
      <c r="H28" s="7">
        <v>3619.8945961538502</v>
      </c>
      <c r="I28" s="2"/>
      <c r="J28" s="6">
        <f t="shared" si="13"/>
        <v>6.3842938203771613E-3</v>
      </c>
      <c r="K28" s="2"/>
      <c r="L28" s="7">
        <f t="shared" si="14"/>
        <v>133.84540384614957</v>
      </c>
      <c r="M28" s="2"/>
      <c r="N28" s="6">
        <f t="shared" si="15"/>
        <v>3.6974945068389768E-2</v>
      </c>
      <c r="O28" s="11"/>
      <c r="P28" s="7">
        <v>7508.85</v>
      </c>
      <c r="Q28" s="2"/>
      <c r="R28" s="6">
        <f t="shared" si="16"/>
        <v>5.7339384738325731E-3</v>
      </c>
      <c r="S28" s="2"/>
      <c r="T28" s="7">
        <v>11534.5705461539</v>
      </c>
      <c r="U28" s="2"/>
      <c r="V28" s="6">
        <f t="shared" si="17"/>
        <v>1.0171578964862345E-2</v>
      </c>
      <c r="W28" s="2"/>
      <c r="X28" s="7">
        <f t="shared" si="18"/>
        <v>-4025.7205461538997</v>
      </c>
      <c r="Y28" s="2"/>
      <c r="Z28" s="6">
        <f t="shared" si="19"/>
        <v>-0.34901347475795191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7">
        <v>13128.66</v>
      </c>
      <c r="E29" s="2"/>
      <c r="F29" s="6">
        <f t="shared" si="12"/>
        <v>2.5196123285373226E-2</v>
      </c>
      <c r="G29" s="2"/>
      <c r="H29" s="7">
        <v>23715.230769230799</v>
      </c>
      <c r="I29" s="2"/>
      <c r="J29" s="6">
        <f t="shared" si="13"/>
        <v>4.1825803825803878E-2</v>
      </c>
      <c r="K29" s="2"/>
      <c r="L29" s="7">
        <f t="shared" si="14"/>
        <v>-10586.570769230799</v>
      </c>
      <c r="M29" s="2"/>
      <c r="N29" s="6">
        <f t="shared" si="15"/>
        <v>-0.44640386898390588</v>
      </c>
      <c r="O29" s="11"/>
      <c r="P29" s="7">
        <v>49377.89</v>
      </c>
      <c r="Q29" s="2"/>
      <c r="R29" s="6">
        <f t="shared" si="16"/>
        <v>3.7706144513164154E-2</v>
      </c>
      <c r="S29" s="2"/>
      <c r="T29" s="7">
        <v>87747.230769230795</v>
      </c>
      <c r="U29" s="2"/>
      <c r="V29" s="6">
        <f t="shared" si="17"/>
        <v>7.7378510378510401E-2</v>
      </c>
      <c r="W29" s="2"/>
      <c r="X29" s="7">
        <f t="shared" si="18"/>
        <v>-38369.340769230796</v>
      </c>
      <c r="Y29" s="2"/>
      <c r="Z29" s="6">
        <f t="shared" si="19"/>
        <v>-0.4372712441505936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271.10000000000002</v>
      </c>
      <c r="E30" s="2"/>
      <c r="F30" s="6">
        <f t="shared" si="12"/>
        <v>5.2028683983473421E-4</v>
      </c>
      <c r="G30" s="2"/>
      <c r="H30" s="7">
        <v>200.57463461538501</v>
      </c>
      <c r="I30" s="2"/>
      <c r="J30" s="6">
        <f t="shared" si="13"/>
        <v>3.537471509971517E-4</v>
      </c>
      <c r="K30" s="2"/>
      <c r="L30" s="7">
        <f t="shared" si="14"/>
        <v>70.525365384615014</v>
      </c>
      <c r="M30" s="2"/>
      <c r="N30" s="6">
        <f t="shared" si="15"/>
        <v>0.35161657165599242</v>
      </c>
      <c r="O30" s="11"/>
      <c r="P30" s="7">
        <v>542.30999999999995</v>
      </c>
      <c r="Q30" s="2"/>
      <c r="R30" s="6">
        <f t="shared" si="16"/>
        <v>4.1412096043257524E-4</v>
      </c>
      <c r="S30" s="2"/>
      <c r="T30" s="7">
        <v>639.11868461538597</v>
      </c>
      <c r="U30" s="2"/>
      <c r="V30" s="6">
        <f t="shared" si="17"/>
        <v>5.6359672364672488E-4</v>
      </c>
      <c r="W30" s="2"/>
      <c r="X30" s="7">
        <f t="shared" si="18"/>
        <v>-96.808684615386028</v>
      </c>
      <c r="Y30" s="2"/>
      <c r="Z30" s="6">
        <f t="shared" si="19"/>
        <v>-0.15147215524397373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7">
        <v>2134.5100000000002</v>
      </c>
      <c r="E31" s="2"/>
      <c r="F31" s="6">
        <f t="shared" si="12"/>
        <v>4.0964863979920272E-3</v>
      </c>
      <c r="G31" s="2"/>
      <c r="H31" s="7">
        <v>1557.60884615385</v>
      </c>
      <c r="I31" s="2"/>
      <c r="J31" s="6">
        <f t="shared" si="13"/>
        <v>2.7471055487722222E-3</v>
      </c>
      <c r="K31" s="2"/>
      <c r="L31" s="7">
        <f t="shared" si="14"/>
        <v>576.90115384615024</v>
      </c>
      <c r="M31" s="2"/>
      <c r="N31" s="6">
        <f t="shared" si="15"/>
        <v>0.37037614114138634</v>
      </c>
      <c r="O31" s="11"/>
      <c r="P31" s="7">
        <v>5184.96</v>
      </c>
      <c r="Q31" s="2"/>
      <c r="R31" s="6">
        <f t="shared" si="16"/>
        <v>3.9593601722344883E-3</v>
      </c>
      <c r="S31" s="2"/>
      <c r="T31" s="7">
        <v>5607.3918461538597</v>
      </c>
      <c r="U31" s="2"/>
      <c r="V31" s="6">
        <f t="shared" si="17"/>
        <v>4.9447899877899998E-3</v>
      </c>
      <c r="W31" s="2"/>
      <c r="X31" s="7">
        <f t="shared" si="18"/>
        <v>-422.43184615385962</v>
      </c>
      <c r="Y31" s="2"/>
      <c r="Z31" s="6">
        <f t="shared" si="19"/>
        <v>-7.5334818351174782E-2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7">
        <v>508.99</v>
      </c>
      <c r="E33" s="2"/>
      <c r="F33" s="6">
        <f t="shared" si="12"/>
        <v>9.7683806199734915E-4</v>
      </c>
      <c r="G33" s="2"/>
      <c r="H33" s="7"/>
      <c r="I33" s="2"/>
      <c r="J33" s="6">
        <f t="shared" si="13"/>
        <v>0</v>
      </c>
      <c r="K33" s="2"/>
      <c r="L33" s="7">
        <f t="shared" si="14"/>
        <v>508.99</v>
      </c>
      <c r="M33" s="2"/>
      <c r="N33" s="6">
        <f t="shared" si="15"/>
        <v>0</v>
      </c>
      <c r="O33" s="11"/>
      <c r="P33" s="7">
        <v>1709.3</v>
      </c>
      <c r="Q33" s="2"/>
      <c r="R33" s="6">
        <f t="shared" si="16"/>
        <v>1.3052625945813297E-3</v>
      </c>
      <c r="S33" s="2"/>
      <c r="T33" s="7"/>
      <c r="U33" s="2"/>
      <c r="V33" s="6">
        <f t="shared" si="17"/>
        <v>0</v>
      </c>
      <c r="W33" s="2"/>
      <c r="X33" s="7">
        <f t="shared" si="18"/>
        <v>1709.3</v>
      </c>
      <c r="Y33" s="2"/>
      <c r="Z33" s="6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7">
        <v>3034.41</v>
      </c>
      <c r="E34" s="2"/>
      <c r="F34" s="6">
        <f t="shared" si="12"/>
        <v>5.8235469924858563E-3</v>
      </c>
      <c r="G34" s="2"/>
      <c r="H34" s="7">
        <v>2263.3519230769198</v>
      </c>
      <c r="I34" s="2"/>
      <c r="J34" s="6">
        <f t="shared" si="13"/>
        <v>3.9918023334689946E-3</v>
      </c>
      <c r="K34" s="2"/>
      <c r="L34" s="7">
        <f t="shared" si="14"/>
        <v>771.05807692308008</v>
      </c>
      <c r="M34" s="2"/>
      <c r="N34" s="6">
        <f t="shared" si="15"/>
        <v>0.34067087361070353</v>
      </c>
      <c r="O34" s="11"/>
      <c r="P34" s="7">
        <v>8740.7800000000007</v>
      </c>
      <c r="Q34" s="2"/>
      <c r="R34" s="6">
        <f t="shared" si="16"/>
        <v>6.6746698540131018E-3</v>
      </c>
      <c r="S34" s="2"/>
      <c r="T34" s="7">
        <v>8148.0669230769199</v>
      </c>
      <c r="U34" s="2"/>
      <c r="V34" s="6">
        <f t="shared" si="17"/>
        <v>7.1852442002441974E-3</v>
      </c>
      <c r="W34" s="2"/>
      <c r="X34" s="7">
        <f t="shared" si="18"/>
        <v>592.71307692308073</v>
      </c>
      <c r="Y34" s="2"/>
      <c r="Z34" s="6">
        <f t="shared" si="19"/>
        <v>7.2742784579297129E-2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7">
        <v>2581.14</v>
      </c>
      <c r="E35" s="2"/>
      <c r="F35" s="6">
        <f t="shared" si="12"/>
        <v>4.953645052641187E-3</v>
      </c>
      <c r="G35" s="2"/>
      <c r="H35" s="7">
        <v>2865.3519230769198</v>
      </c>
      <c r="I35" s="2"/>
      <c r="J35" s="6">
        <f t="shared" si="13"/>
        <v>5.0535307285307224E-3</v>
      </c>
      <c r="K35" s="2"/>
      <c r="L35" s="7">
        <f t="shared" si="14"/>
        <v>-284.2119230769199</v>
      </c>
      <c r="M35" s="2"/>
      <c r="N35" s="6">
        <f t="shared" si="15"/>
        <v>-9.9189185379966432E-2</v>
      </c>
      <c r="O35" s="11"/>
      <c r="P35" s="7">
        <v>6263.96</v>
      </c>
      <c r="Q35" s="2"/>
      <c r="R35" s="6">
        <f t="shared" si="16"/>
        <v>4.7833105259191865E-3</v>
      </c>
      <c r="S35" s="2"/>
      <c r="T35" s="7">
        <v>9130.2669230769206</v>
      </c>
      <c r="U35" s="2"/>
      <c r="V35" s="6">
        <f t="shared" si="17"/>
        <v>8.0513817663817634E-3</v>
      </c>
      <c r="W35" s="2"/>
      <c r="X35" s="7">
        <f t="shared" si="18"/>
        <v>-2866.3069230769206</v>
      </c>
      <c r="Y35" s="2"/>
      <c r="Z35" s="6">
        <f t="shared" si="19"/>
        <v>-0.31393462504719072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7">
        <v>2077.29</v>
      </c>
      <c r="E36" s="2"/>
      <c r="F36" s="6">
        <f t="shared" si="12"/>
        <v>3.9866715216536151E-3</v>
      </c>
      <c r="G36" s="2"/>
      <c r="H36" s="7"/>
      <c r="I36" s="2"/>
      <c r="J36" s="6">
        <f t="shared" si="13"/>
        <v>0</v>
      </c>
      <c r="K36" s="2"/>
      <c r="L36" s="7">
        <f t="shared" si="14"/>
        <v>2077.29</v>
      </c>
      <c r="M36" s="2"/>
      <c r="N36" s="6">
        <f t="shared" si="15"/>
        <v>0</v>
      </c>
      <c r="O36" s="11"/>
      <c r="P36" s="7">
        <v>4203.1000000000004</v>
      </c>
      <c r="Q36" s="2"/>
      <c r="R36" s="6">
        <f t="shared" si="16"/>
        <v>3.209588259103017E-3</v>
      </c>
      <c r="S36" s="2"/>
      <c r="T36" s="7"/>
      <c r="U36" s="2"/>
      <c r="V36" s="6">
        <f t="shared" si="17"/>
        <v>0</v>
      </c>
      <c r="W36" s="2"/>
      <c r="X36" s="7">
        <f t="shared" si="18"/>
        <v>4203.1000000000004</v>
      </c>
      <c r="Y36" s="2"/>
      <c r="Z36" s="6">
        <f t="shared" si="19"/>
        <v>0</v>
      </c>
    </row>
    <row r="37" spans="1:26" s="28" customFormat="1" outlineLevel="1" collapsed="1" x14ac:dyDescent="0.25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111131.22000000002</v>
      </c>
      <c r="E37" s="1"/>
      <c r="F37" s="5">
        <f t="shared" ref="F37:F47" si="20">IF(D$12=0,0,D37/D$12)</f>
        <v>0.21327964316037853</v>
      </c>
      <c r="G37" s="1"/>
      <c r="H37" s="1">
        <f>SUM(OSRRefH22_1x_0)</f>
        <v>91673.026923076904</v>
      </c>
      <c r="I37" s="1"/>
      <c r="J37" s="5">
        <f t="shared" ref="J37:J47" si="21">IF(H$12=0,0,H37/H$12)</f>
        <v>0.16168082349749013</v>
      </c>
      <c r="K37" s="1"/>
      <c r="L37" s="1">
        <f t="shared" ref="L37:L47" si="22">+D37-H37</f>
        <v>19458.193076923111</v>
      </c>
      <c r="M37" s="1"/>
      <c r="N37" s="5">
        <f t="shared" ref="N37:N47" si="23">IF(H37=0,0,L37/H37)</f>
        <v>0.21225646986927285</v>
      </c>
      <c r="O37" s="14"/>
      <c r="P37" s="1">
        <f>SUM(OSRRefP22_1x_0)</f>
        <v>230168.88</v>
      </c>
      <c r="Q37" s="1"/>
      <c r="R37" s="5">
        <f t="shared" ref="R37:R47" si="24">IF(P$12=0,0,P37/P$12)</f>
        <v>0.17576249312623807</v>
      </c>
      <c r="S37" s="1"/>
      <c r="T37" s="1">
        <f>SUM(OSRRefT22_1x_0)</f>
        <v>290522.89692307683</v>
      </c>
      <c r="U37" s="1"/>
      <c r="V37" s="5">
        <f t="shared" ref="V37:V47" si="25">IF(T$12=0,0,T37/T$12)</f>
        <v>0.25619303079636402</v>
      </c>
      <c r="W37" s="1"/>
      <c r="X37" s="1">
        <f t="shared" ref="X37:X47" si="26">+P37-T37</f>
        <v>-60354.016923076822</v>
      </c>
      <c r="Y37" s="1"/>
      <c r="Z37" s="5">
        <f t="shared" ref="Z37:Z47" si="27">IF(T37=0,0,X37/T37)</f>
        <v>-0.20774272032354493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7">
        <v>19740.43</v>
      </c>
      <c r="E39" s="2"/>
      <c r="F39" s="6">
        <f t="shared" si="20"/>
        <v>3.7885230327107278E-2</v>
      </c>
      <c r="G39" s="2"/>
      <c r="H39" s="7">
        <v>17025.026923076901</v>
      </c>
      <c r="I39" s="2"/>
      <c r="J39" s="6">
        <f t="shared" si="21"/>
        <v>3.0026502509835806E-2</v>
      </c>
      <c r="K39" s="2"/>
      <c r="L39" s="7">
        <f t="shared" si="22"/>
        <v>2715.4030769230994</v>
      </c>
      <c r="M39" s="2"/>
      <c r="N39" s="6">
        <f t="shared" si="23"/>
        <v>0.15949478900632186</v>
      </c>
      <c r="O39" s="11"/>
      <c r="P39" s="7">
        <v>55589.06</v>
      </c>
      <c r="Q39" s="2"/>
      <c r="R39" s="6">
        <f t="shared" si="24"/>
        <v>4.2449143325301121E-2</v>
      </c>
      <c r="S39" s="2"/>
      <c r="T39" s="7">
        <v>61290.096923076802</v>
      </c>
      <c r="U39" s="2"/>
      <c r="V39" s="6">
        <f t="shared" si="25"/>
        <v>5.4047704517704409E-2</v>
      </c>
      <c r="W39" s="2"/>
      <c r="X39" s="7">
        <f t="shared" si="26"/>
        <v>-5701.0369230768047</v>
      </c>
      <c r="Y39" s="2"/>
      <c r="Z39" s="6">
        <f t="shared" si="27"/>
        <v>-9.3017260687839831E-2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7">
        <v>37115.93</v>
      </c>
      <c r="E41" s="2"/>
      <c r="F41" s="6">
        <f t="shared" si="20"/>
        <v>7.1231759229904851E-2</v>
      </c>
      <c r="G41" s="2"/>
      <c r="H41" s="7">
        <v>57148</v>
      </c>
      <c r="I41" s="2"/>
      <c r="J41" s="6">
        <f t="shared" si="21"/>
        <v>0.10079012345679013</v>
      </c>
      <c r="K41" s="2"/>
      <c r="L41" s="7">
        <f t="shared" si="22"/>
        <v>-20032.07</v>
      </c>
      <c r="M41" s="2"/>
      <c r="N41" s="6">
        <f t="shared" si="23"/>
        <v>-0.35052967732904039</v>
      </c>
      <c r="O41" s="11"/>
      <c r="P41" s="7">
        <v>83901.119999999995</v>
      </c>
      <c r="Q41" s="2"/>
      <c r="R41" s="6">
        <f t="shared" si="24"/>
        <v>6.4068913344339493E-2</v>
      </c>
      <c r="S41" s="2"/>
      <c r="T41" s="7">
        <v>180232.8</v>
      </c>
      <c r="U41" s="2"/>
      <c r="V41" s="6">
        <f t="shared" si="25"/>
        <v>0.15893544973544974</v>
      </c>
      <c r="W41" s="2"/>
      <c r="X41" s="7">
        <f t="shared" si="26"/>
        <v>-96331.68</v>
      </c>
      <c r="Y41" s="2"/>
      <c r="Z41" s="6">
        <f t="shared" si="27"/>
        <v>-0.53448473307855171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7">
        <v>36290.46</v>
      </c>
      <c r="E42" s="2"/>
      <c r="F42" s="6">
        <f t="shared" si="20"/>
        <v>6.964754241810707E-2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36290.46</v>
      </c>
      <c r="M42" s="2"/>
      <c r="N42" s="6">
        <f t="shared" si="23"/>
        <v>0</v>
      </c>
      <c r="O42" s="11"/>
      <c r="P42" s="7">
        <v>46385.04</v>
      </c>
      <c r="Q42" s="2"/>
      <c r="R42" s="6">
        <f t="shared" si="24"/>
        <v>3.5420732264762632E-2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46385.04</v>
      </c>
      <c r="Y42" s="2"/>
      <c r="Z42" s="6">
        <f t="shared" si="27"/>
        <v>0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7">
        <v>15549.24</v>
      </c>
      <c r="E44" s="2"/>
      <c r="F44" s="6">
        <f t="shared" si="20"/>
        <v>2.9841626489973596E-2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15549.24</v>
      </c>
      <c r="M44" s="2"/>
      <c r="N44" s="6">
        <f t="shared" si="23"/>
        <v>0</v>
      </c>
      <c r="O44" s="11"/>
      <c r="P44" s="7">
        <v>41858.5</v>
      </c>
      <c r="Q44" s="2"/>
      <c r="R44" s="6">
        <f t="shared" si="24"/>
        <v>3.1964157441808104E-2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41858.5</v>
      </c>
      <c r="Y44" s="2"/>
      <c r="Z44" s="6">
        <f t="shared" si="27"/>
        <v>0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>
        <v>2435.16</v>
      </c>
      <c r="E45" s="2"/>
      <c r="F45" s="6">
        <f t="shared" si="20"/>
        <v>4.6734846952856922E-3</v>
      </c>
      <c r="G45" s="2"/>
      <c r="H45" s="7">
        <v>17500</v>
      </c>
      <c r="I45" s="2"/>
      <c r="J45" s="6">
        <f t="shared" si="21"/>
        <v>3.0864197530864196E-2</v>
      </c>
      <c r="K45" s="2"/>
      <c r="L45" s="7">
        <f t="shared" si="22"/>
        <v>-15064.84</v>
      </c>
      <c r="M45" s="2"/>
      <c r="N45" s="6">
        <f t="shared" si="23"/>
        <v>-0.86084800000000006</v>
      </c>
      <c r="O45" s="11"/>
      <c r="P45" s="7">
        <v>2435.16</v>
      </c>
      <c r="Q45" s="2"/>
      <c r="R45" s="6">
        <f t="shared" si="24"/>
        <v>1.8595467500267188E-3</v>
      </c>
      <c r="S45" s="2"/>
      <c r="T45" s="7">
        <v>49000</v>
      </c>
      <c r="U45" s="2"/>
      <c r="V45" s="6">
        <f t="shared" si="25"/>
        <v>4.3209876543209874E-2</v>
      </c>
      <c r="W45" s="2"/>
      <c r="X45" s="7">
        <f t="shared" si="26"/>
        <v>-46564.84</v>
      </c>
      <c r="Y45" s="2"/>
      <c r="Z45" s="6">
        <f t="shared" si="27"/>
        <v>-0.95030285714285712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25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69" si="28">IF(D$12=0,0,D48/D$12)</f>
        <v>0</v>
      </c>
      <c r="G48" s="1"/>
      <c r="H48" s="1">
        <f>SUM(OSRRefH22_2x_0)</f>
        <v>600</v>
      </c>
      <c r="I48" s="1"/>
      <c r="J48" s="5">
        <f t="shared" ref="J48:J69" si="29">IF(H$12=0,0,H48/H$12)</f>
        <v>1.0582010582010583E-3</v>
      </c>
      <c r="K48" s="1"/>
      <c r="L48" s="1">
        <f t="shared" ref="L48:L69" si="30">+D48-H48</f>
        <v>-600</v>
      </c>
      <c r="M48" s="1"/>
      <c r="N48" s="5">
        <f t="shared" ref="N48:N69" si="31">IF(H48=0,0,L48/H48)</f>
        <v>-1</v>
      </c>
      <c r="O48" s="14"/>
      <c r="P48" s="1">
        <f>SUM(OSRRefP22_2x_0)</f>
        <v>1014.37</v>
      </c>
      <c r="Q48" s="1"/>
      <c r="R48" s="5">
        <f t="shared" ref="R48:R69" si="32">IF(P$12=0,0,P48/P$12)</f>
        <v>7.7459733110949705E-4</v>
      </c>
      <c r="S48" s="1"/>
      <c r="T48" s="1">
        <f>SUM(OSRRefT22_2x_0)</f>
        <v>2400</v>
      </c>
      <c r="U48" s="1"/>
      <c r="V48" s="5">
        <f t="shared" ref="V48:V69" si="33">IF(T$12=0,0,T48/T$12)</f>
        <v>2.1164021164021165E-3</v>
      </c>
      <c r="W48" s="1"/>
      <c r="X48" s="1">
        <f t="shared" ref="X48:X69" si="34">+P48-T48</f>
        <v>-1385.63</v>
      </c>
      <c r="Y48" s="1"/>
      <c r="Z48" s="5">
        <f t="shared" ref="Z48:Z69" si="35">IF(T48=0,0,X48/T48)</f>
        <v>-0.57734583333333334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8"/>
        <v>0</v>
      </c>
      <c r="G49" s="2"/>
      <c r="H49" s="7">
        <v>600</v>
      </c>
      <c r="I49" s="2"/>
      <c r="J49" s="6">
        <f t="shared" si="29"/>
        <v>1.0582010582010583E-3</v>
      </c>
      <c r="K49" s="2"/>
      <c r="L49" s="7">
        <f t="shared" si="30"/>
        <v>-600</v>
      </c>
      <c r="M49" s="2"/>
      <c r="N49" s="6">
        <f t="shared" si="31"/>
        <v>-1</v>
      </c>
      <c r="O49" s="11"/>
      <c r="P49" s="7">
        <v>1014.37</v>
      </c>
      <c r="Q49" s="2"/>
      <c r="R49" s="6">
        <f t="shared" si="32"/>
        <v>7.7459733110949705E-4</v>
      </c>
      <c r="S49" s="2"/>
      <c r="T49" s="7">
        <v>2400</v>
      </c>
      <c r="U49" s="2"/>
      <c r="V49" s="6">
        <f t="shared" si="33"/>
        <v>2.1164021164021165E-3</v>
      </c>
      <c r="W49" s="2"/>
      <c r="X49" s="7">
        <f t="shared" si="34"/>
        <v>-1385.63</v>
      </c>
      <c r="Y49" s="2"/>
      <c r="Z49" s="6">
        <f t="shared" si="35"/>
        <v>-0.57734583333333334</v>
      </c>
    </row>
    <row r="50" spans="1:26" s="28" customFormat="1" outlineLevel="1" collapsed="1" x14ac:dyDescent="0.25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-16</v>
      </c>
      <c r="E50" s="1"/>
      <c r="F50" s="5">
        <f t="shared" si="28"/>
        <v>-3.0706711314480808E-5</v>
      </c>
      <c r="G50" s="1"/>
      <c r="H50" s="1">
        <f>SUM(OSRRefH22_3x_0)</f>
        <v>15</v>
      </c>
      <c r="I50" s="1"/>
      <c r="J50" s="5">
        <f t="shared" si="29"/>
        <v>2.6455026455026456E-5</v>
      </c>
      <c r="K50" s="1"/>
      <c r="L50" s="1">
        <f t="shared" si="30"/>
        <v>-31</v>
      </c>
      <c r="M50" s="1"/>
      <c r="N50" s="5">
        <f t="shared" si="31"/>
        <v>-2.0666666666666669</v>
      </c>
      <c r="O50" s="14"/>
      <c r="P50" s="1">
        <f>SUM(OSRRefP22_3x_0)</f>
        <v>-15.9</v>
      </c>
      <c r="Q50" s="1"/>
      <c r="R50" s="5">
        <f t="shared" si="32"/>
        <v>-1.2141622450034015E-5</v>
      </c>
      <c r="S50" s="1"/>
      <c r="T50" s="1">
        <f>SUM(OSRRefT22_3x_0)</f>
        <v>60</v>
      </c>
      <c r="U50" s="1"/>
      <c r="V50" s="5">
        <f t="shared" si="33"/>
        <v>5.2910052910052912E-5</v>
      </c>
      <c r="W50" s="1"/>
      <c r="X50" s="1">
        <f t="shared" si="34"/>
        <v>-75.900000000000006</v>
      </c>
      <c r="Y50" s="1"/>
      <c r="Z50" s="5">
        <f t="shared" si="35"/>
        <v>-1.2650000000000001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7">
        <v>-16</v>
      </c>
      <c r="E51" s="2"/>
      <c r="F51" s="6">
        <f t="shared" si="28"/>
        <v>-3.0706711314480808E-5</v>
      </c>
      <c r="G51" s="2"/>
      <c r="H51" s="7">
        <v>15</v>
      </c>
      <c r="I51" s="2"/>
      <c r="J51" s="6">
        <f t="shared" si="29"/>
        <v>2.6455026455026456E-5</v>
      </c>
      <c r="K51" s="2"/>
      <c r="L51" s="7">
        <f t="shared" si="30"/>
        <v>-31</v>
      </c>
      <c r="M51" s="2"/>
      <c r="N51" s="6">
        <f t="shared" si="31"/>
        <v>-2.0666666666666669</v>
      </c>
      <c r="O51" s="11"/>
      <c r="P51" s="7">
        <v>-15.9</v>
      </c>
      <c r="Q51" s="2"/>
      <c r="R51" s="6">
        <f t="shared" si="32"/>
        <v>-1.2141622450034015E-5</v>
      </c>
      <c r="S51" s="2"/>
      <c r="T51" s="7">
        <v>60</v>
      </c>
      <c r="U51" s="2"/>
      <c r="V51" s="6">
        <f t="shared" si="33"/>
        <v>5.2910052910052912E-5</v>
      </c>
      <c r="W51" s="2"/>
      <c r="X51" s="7">
        <f t="shared" si="34"/>
        <v>-75.900000000000006</v>
      </c>
      <c r="Y51" s="2"/>
      <c r="Z51" s="6">
        <f t="shared" si="35"/>
        <v>-1.2650000000000001</v>
      </c>
    </row>
    <row r="52" spans="1:26" s="28" customFormat="1" outlineLevel="1" collapsed="1" x14ac:dyDescent="0.25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51.38</v>
      </c>
      <c r="E52" s="1"/>
      <c r="F52" s="5">
        <f t="shared" si="28"/>
        <v>9.86069267086265E-5</v>
      </c>
      <c r="G52" s="1"/>
      <c r="H52" s="1">
        <f>SUM(OSRRefH22_4x_0)</f>
        <v>250</v>
      </c>
      <c r="I52" s="1"/>
      <c r="J52" s="5">
        <f t="shared" si="29"/>
        <v>4.4091710758377423E-4</v>
      </c>
      <c r="K52" s="1"/>
      <c r="L52" s="1">
        <f t="shared" si="30"/>
        <v>-198.62</v>
      </c>
      <c r="M52" s="1"/>
      <c r="N52" s="5">
        <f t="shared" si="31"/>
        <v>-0.79447999999999996</v>
      </c>
      <c r="O52" s="14"/>
      <c r="P52" s="1">
        <f>SUM(OSRRefP22_4x_0)</f>
        <v>146.08000000000001</v>
      </c>
      <c r="Q52" s="1"/>
      <c r="R52" s="5">
        <f t="shared" si="32"/>
        <v>1.1155020172962069E-4</v>
      </c>
      <c r="S52" s="1"/>
      <c r="T52" s="1">
        <f>SUM(OSRRefT22_4x_0)</f>
        <v>1000</v>
      </c>
      <c r="U52" s="1"/>
      <c r="V52" s="5">
        <f t="shared" si="33"/>
        <v>8.8183421516754845E-4</v>
      </c>
      <c r="W52" s="1"/>
      <c r="X52" s="1">
        <f t="shared" si="34"/>
        <v>-853.92</v>
      </c>
      <c r="Y52" s="1"/>
      <c r="Z52" s="5">
        <f t="shared" si="35"/>
        <v>-0.85392000000000001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7">
        <v>51.38</v>
      </c>
      <c r="E53" s="2"/>
      <c r="F53" s="6">
        <f t="shared" si="28"/>
        <v>9.86069267086265E-5</v>
      </c>
      <c r="G53" s="2"/>
      <c r="H53" s="7">
        <v>250</v>
      </c>
      <c r="I53" s="2"/>
      <c r="J53" s="6">
        <f t="shared" si="29"/>
        <v>4.4091710758377423E-4</v>
      </c>
      <c r="K53" s="2"/>
      <c r="L53" s="7">
        <f t="shared" si="30"/>
        <v>-198.62</v>
      </c>
      <c r="M53" s="2"/>
      <c r="N53" s="6">
        <f t="shared" si="31"/>
        <v>-0.79447999999999996</v>
      </c>
      <c r="O53" s="11"/>
      <c r="P53" s="7">
        <v>146.08000000000001</v>
      </c>
      <c r="Q53" s="2"/>
      <c r="R53" s="6">
        <f t="shared" si="32"/>
        <v>1.1155020172962069E-4</v>
      </c>
      <c r="S53" s="2"/>
      <c r="T53" s="7">
        <v>1000</v>
      </c>
      <c r="U53" s="2"/>
      <c r="V53" s="6">
        <f t="shared" si="33"/>
        <v>8.8183421516754845E-4</v>
      </c>
      <c r="W53" s="2"/>
      <c r="X53" s="7">
        <f t="shared" si="34"/>
        <v>-853.92</v>
      </c>
      <c r="Y53" s="2"/>
      <c r="Z53" s="6">
        <f t="shared" si="35"/>
        <v>-0.85392000000000001</v>
      </c>
    </row>
    <row r="54" spans="1:26" s="28" customFormat="1" outlineLevel="1" collapsed="1" x14ac:dyDescent="0.25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273.51</v>
      </c>
      <c r="E54" s="1"/>
      <c r="F54" s="5">
        <f t="shared" si="28"/>
        <v>5.2491203822647786E-4</v>
      </c>
      <c r="G54" s="1"/>
      <c r="H54" s="1">
        <f>SUM(OSRRefH22_5x_0)</f>
        <v>0</v>
      </c>
      <c r="I54" s="1"/>
      <c r="J54" s="5">
        <f t="shared" si="29"/>
        <v>0</v>
      </c>
      <c r="K54" s="1"/>
      <c r="L54" s="1">
        <f t="shared" si="30"/>
        <v>273.51</v>
      </c>
      <c r="M54" s="1"/>
      <c r="N54" s="5">
        <f t="shared" si="31"/>
        <v>0</v>
      </c>
      <c r="O54" s="14"/>
      <c r="P54" s="1">
        <f>SUM(OSRRefP22_5x_0)</f>
        <v>1094.04</v>
      </c>
      <c r="Q54" s="1"/>
      <c r="R54" s="5">
        <f t="shared" si="32"/>
        <v>8.354352594487556E-4</v>
      </c>
      <c r="S54" s="1"/>
      <c r="T54" s="1">
        <f>SUM(OSRRefT22_5x_0)</f>
        <v>0</v>
      </c>
      <c r="U54" s="1"/>
      <c r="V54" s="5">
        <f t="shared" si="33"/>
        <v>0</v>
      </c>
      <c r="W54" s="1"/>
      <c r="X54" s="1">
        <f t="shared" si="34"/>
        <v>1094.04</v>
      </c>
      <c r="Y54" s="1"/>
      <c r="Z54" s="5">
        <f t="shared" si="35"/>
        <v>0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273.51</v>
      </c>
      <c r="E55" s="2"/>
      <c r="F55" s="6">
        <f t="shared" si="28"/>
        <v>5.2491203822647786E-4</v>
      </c>
      <c r="G55" s="2"/>
      <c r="H55" s="7"/>
      <c r="I55" s="2"/>
      <c r="J55" s="6">
        <f t="shared" si="29"/>
        <v>0</v>
      </c>
      <c r="K55" s="2"/>
      <c r="L55" s="7">
        <f t="shared" si="30"/>
        <v>273.51</v>
      </c>
      <c r="M55" s="2"/>
      <c r="N55" s="6">
        <f t="shared" si="31"/>
        <v>0</v>
      </c>
      <c r="O55" s="11"/>
      <c r="P55" s="7">
        <v>1094.04</v>
      </c>
      <c r="Q55" s="2"/>
      <c r="R55" s="6">
        <f t="shared" si="32"/>
        <v>8.354352594487556E-4</v>
      </c>
      <c r="S55" s="2"/>
      <c r="T55" s="7"/>
      <c r="U55" s="2"/>
      <c r="V55" s="6">
        <f t="shared" si="33"/>
        <v>0</v>
      </c>
      <c r="W55" s="2"/>
      <c r="X55" s="7">
        <f t="shared" si="34"/>
        <v>1094.04</v>
      </c>
      <c r="Y55" s="2"/>
      <c r="Z55" s="6">
        <f t="shared" si="35"/>
        <v>0</v>
      </c>
    </row>
    <row r="56" spans="1:26" s="28" customFormat="1" outlineLevel="1" collapsed="1" x14ac:dyDescent="0.25">
      <c r="A56" s="29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5282.99</v>
      </c>
      <c r="E56" s="1"/>
      <c r="F56" s="5">
        <f t="shared" si="28"/>
        <v>1.0138953050455561E-2</v>
      </c>
      <c r="G56" s="1"/>
      <c r="H56" s="1">
        <f>SUM(OSRRefH22_6x_0)</f>
        <v>6000</v>
      </c>
      <c r="I56" s="1"/>
      <c r="J56" s="5">
        <f t="shared" si="29"/>
        <v>1.0582010582010581E-2</v>
      </c>
      <c r="K56" s="1"/>
      <c r="L56" s="1">
        <f t="shared" si="30"/>
        <v>-717.01000000000022</v>
      </c>
      <c r="M56" s="1"/>
      <c r="N56" s="5">
        <f t="shared" si="31"/>
        <v>-0.1195016666666667</v>
      </c>
      <c r="O56" s="14"/>
      <c r="P56" s="1">
        <f>SUM(OSRRefP22_6x_0)</f>
        <v>12277.17</v>
      </c>
      <c r="Q56" s="1"/>
      <c r="R56" s="5">
        <f t="shared" si="32"/>
        <v>9.3751423204329627E-3</v>
      </c>
      <c r="S56" s="1"/>
      <c r="T56" s="1">
        <f>SUM(OSRRefT22_6x_0)</f>
        <v>18000</v>
      </c>
      <c r="U56" s="1"/>
      <c r="V56" s="5">
        <f t="shared" si="33"/>
        <v>1.5873015873015872E-2</v>
      </c>
      <c r="W56" s="1"/>
      <c r="X56" s="1">
        <f t="shared" si="34"/>
        <v>-5722.83</v>
      </c>
      <c r="Y56" s="1"/>
      <c r="Z56" s="5">
        <f t="shared" si="35"/>
        <v>-0.31793500000000002</v>
      </c>
    </row>
    <row r="57" spans="1:26" s="24" customFormat="1" hidden="1" outlineLevel="2" x14ac:dyDescent="0.25">
      <c r="A57" s="27"/>
      <c r="B57" s="11" t="str">
        <f>CONCATENATE("          ", "6399", " - ", "DONATION-ON CAMPUS")</f>
        <v xml:space="preserve">          6399 - DONATION-ON CAMPUS</v>
      </c>
      <c r="C57" s="11"/>
      <c r="D57" s="7">
        <v>5282.99</v>
      </c>
      <c r="E57" s="2"/>
      <c r="F57" s="6">
        <f t="shared" si="28"/>
        <v>1.0138953050455561E-2</v>
      </c>
      <c r="G57" s="2"/>
      <c r="H57" s="7">
        <v>6000</v>
      </c>
      <c r="I57" s="2"/>
      <c r="J57" s="6">
        <f t="shared" si="29"/>
        <v>1.0582010582010581E-2</v>
      </c>
      <c r="K57" s="2"/>
      <c r="L57" s="7">
        <f t="shared" si="30"/>
        <v>-717.01000000000022</v>
      </c>
      <c r="M57" s="2"/>
      <c r="N57" s="6">
        <f t="shared" si="31"/>
        <v>-0.1195016666666667</v>
      </c>
      <c r="O57" s="11"/>
      <c r="P57" s="7">
        <v>12277.17</v>
      </c>
      <c r="Q57" s="2"/>
      <c r="R57" s="6">
        <f t="shared" si="32"/>
        <v>9.3751423204329627E-3</v>
      </c>
      <c r="S57" s="2"/>
      <c r="T57" s="7">
        <v>18000</v>
      </c>
      <c r="U57" s="2"/>
      <c r="V57" s="6">
        <f t="shared" si="33"/>
        <v>1.5873015873015872E-2</v>
      </c>
      <c r="W57" s="2"/>
      <c r="X57" s="7">
        <f t="shared" si="34"/>
        <v>-5722.83</v>
      </c>
      <c r="Y57" s="2"/>
      <c r="Z57" s="6">
        <f t="shared" si="35"/>
        <v>-0.31793500000000002</v>
      </c>
    </row>
    <row r="58" spans="1:26" s="28" customFormat="1" outlineLevel="1" collapsed="1" x14ac:dyDescent="0.25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0</v>
      </c>
      <c r="I58" s="1"/>
      <c r="J58" s="5">
        <f t="shared" si="29"/>
        <v>0</v>
      </c>
      <c r="K58" s="1"/>
      <c r="L58" s="1">
        <f t="shared" si="30"/>
        <v>0</v>
      </c>
      <c r="M58" s="1"/>
      <c r="N58" s="5">
        <f t="shared" si="31"/>
        <v>0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200</v>
      </c>
      <c r="U58" s="1"/>
      <c r="V58" s="5">
        <f t="shared" si="33"/>
        <v>1.7636684303350971E-4</v>
      </c>
      <c r="W58" s="1"/>
      <c r="X58" s="1">
        <f t="shared" si="34"/>
        <v>-200</v>
      </c>
      <c r="Y58" s="1"/>
      <c r="Z58" s="5">
        <f t="shared" si="35"/>
        <v>-1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/>
      <c r="I59" s="2"/>
      <c r="J59" s="6">
        <f t="shared" si="29"/>
        <v>0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/>
      <c r="Q59" s="2"/>
      <c r="R59" s="6">
        <f t="shared" si="32"/>
        <v>0</v>
      </c>
      <c r="S59" s="2"/>
      <c r="T59" s="7">
        <v>200</v>
      </c>
      <c r="U59" s="2"/>
      <c r="V59" s="6">
        <f t="shared" si="33"/>
        <v>1.7636684303350971E-4</v>
      </c>
      <c r="W59" s="2"/>
      <c r="X59" s="7">
        <f t="shared" si="34"/>
        <v>-200</v>
      </c>
      <c r="Y59" s="2"/>
      <c r="Z59" s="6">
        <f t="shared" si="35"/>
        <v>-1</v>
      </c>
    </row>
    <row r="60" spans="1:26" s="28" customFormat="1" outlineLevel="1" collapsed="1" x14ac:dyDescent="0.25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1127.73</v>
      </c>
      <c r="E60" s="1"/>
      <c r="F60" s="5">
        <f t="shared" si="28"/>
        <v>2.1643049719174651E-3</v>
      </c>
      <c r="G60" s="1"/>
      <c r="H60" s="1">
        <f>SUM(OSRRefH22_8x_0)</f>
        <v>500</v>
      </c>
      <c r="I60" s="1"/>
      <c r="J60" s="5">
        <f t="shared" si="29"/>
        <v>8.8183421516754845E-4</v>
      </c>
      <c r="K60" s="1"/>
      <c r="L60" s="1">
        <f t="shared" si="30"/>
        <v>627.73</v>
      </c>
      <c r="M60" s="1"/>
      <c r="N60" s="5">
        <f t="shared" si="31"/>
        <v>1.25546</v>
      </c>
      <c r="O60" s="14"/>
      <c r="P60" s="1">
        <f>SUM(OSRRefP22_8x_0)</f>
        <v>5510.34</v>
      </c>
      <c r="Q60" s="1"/>
      <c r="R60" s="5">
        <f t="shared" si="32"/>
        <v>4.2078281667497133E-3</v>
      </c>
      <c r="S60" s="1"/>
      <c r="T60" s="1">
        <f>SUM(OSRRefT22_8x_0)</f>
        <v>2000</v>
      </c>
      <c r="U60" s="1"/>
      <c r="V60" s="5">
        <f t="shared" si="33"/>
        <v>1.7636684303350969E-3</v>
      </c>
      <c r="W60" s="1"/>
      <c r="X60" s="1">
        <f t="shared" si="34"/>
        <v>3510.34</v>
      </c>
      <c r="Y60" s="1"/>
      <c r="Z60" s="5">
        <f t="shared" si="35"/>
        <v>1.7551700000000001</v>
      </c>
    </row>
    <row r="61" spans="1:26" s="24" customFormat="1" hidden="1" outlineLevel="2" x14ac:dyDescent="0.25">
      <c r="A61" s="27"/>
      <c r="B61" s="11" t="str">
        <f>CONCATENATE("          ", "6351", " - ", "EQUIPMENT RENTAL")</f>
        <v xml:space="preserve">          6351 - EQUIPMENT RENTAL</v>
      </c>
      <c r="C61" s="11"/>
      <c r="D61" s="7">
        <v>1127.73</v>
      </c>
      <c r="E61" s="2"/>
      <c r="F61" s="6">
        <f t="shared" si="28"/>
        <v>2.1643049719174651E-3</v>
      </c>
      <c r="G61" s="2"/>
      <c r="H61" s="7">
        <v>500</v>
      </c>
      <c r="I61" s="2"/>
      <c r="J61" s="6">
        <f t="shared" si="29"/>
        <v>8.8183421516754845E-4</v>
      </c>
      <c r="K61" s="2"/>
      <c r="L61" s="7">
        <f t="shared" si="30"/>
        <v>627.73</v>
      </c>
      <c r="M61" s="2"/>
      <c r="N61" s="6">
        <f t="shared" si="31"/>
        <v>1.25546</v>
      </c>
      <c r="O61" s="11"/>
      <c r="P61" s="7">
        <v>5510.34</v>
      </c>
      <c r="Q61" s="2"/>
      <c r="R61" s="6">
        <f t="shared" si="32"/>
        <v>4.2078281667497133E-3</v>
      </c>
      <c r="S61" s="2"/>
      <c r="T61" s="7">
        <v>2000</v>
      </c>
      <c r="U61" s="2"/>
      <c r="V61" s="6">
        <f t="shared" si="33"/>
        <v>1.7636684303350969E-3</v>
      </c>
      <c r="W61" s="2"/>
      <c r="X61" s="7">
        <f t="shared" si="34"/>
        <v>3510.34</v>
      </c>
      <c r="Y61" s="2"/>
      <c r="Z61" s="6">
        <f t="shared" si="35"/>
        <v>1.7551700000000001</v>
      </c>
    </row>
    <row r="62" spans="1:26" s="28" customFormat="1" outlineLevel="1" collapsed="1" x14ac:dyDescent="0.25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150</v>
      </c>
      <c r="I62" s="1"/>
      <c r="J62" s="5">
        <f t="shared" si="29"/>
        <v>2.6455026455026457E-4</v>
      </c>
      <c r="K62" s="1"/>
      <c r="L62" s="1">
        <f t="shared" si="30"/>
        <v>-150</v>
      </c>
      <c r="M62" s="1"/>
      <c r="N62" s="5">
        <f t="shared" si="31"/>
        <v>-1</v>
      </c>
      <c r="O62" s="14"/>
      <c r="P62" s="1">
        <f>SUM(OSRRefP22_9x_0)</f>
        <v>7677.62</v>
      </c>
      <c r="Q62" s="1"/>
      <c r="R62" s="5">
        <f t="shared" si="32"/>
        <v>5.8628153053352297E-3</v>
      </c>
      <c r="S62" s="1"/>
      <c r="T62" s="1">
        <f>SUM(OSRRefT22_9x_0)</f>
        <v>2250</v>
      </c>
      <c r="U62" s="1"/>
      <c r="V62" s="5">
        <f t="shared" si="33"/>
        <v>1.984126984126984E-3</v>
      </c>
      <c r="W62" s="1"/>
      <c r="X62" s="1">
        <f t="shared" si="34"/>
        <v>5427.62</v>
      </c>
      <c r="Y62" s="1"/>
      <c r="Z62" s="5">
        <f t="shared" si="35"/>
        <v>2.4122755555555555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8"/>
        <v>0</v>
      </c>
      <c r="G63" s="2"/>
      <c r="H63" s="7">
        <v>150</v>
      </c>
      <c r="I63" s="2"/>
      <c r="J63" s="6">
        <f t="shared" si="29"/>
        <v>2.6455026455026457E-4</v>
      </c>
      <c r="K63" s="2"/>
      <c r="L63" s="7">
        <f t="shared" si="30"/>
        <v>-150</v>
      </c>
      <c r="M63" s="2"/>
      <c r="N63" s="6">
        <f t="shared" si="31"/>
        <v>-1</v>
      </c>
      <c r="O63" s="11"/>
      <c r="P63" s="7">
        <v>7677.62</v>
      </c>
      <c r="Q63" s="2"/>
      <c r="R63" s="6">
        <f t="shared" si="32"/>
        <v>5.8628153053352297E-3</v>
      </c>
      <c r="S63" s="2"/>
      <c r="T63" s="7">
        <v>2250</v>
      </c>
      <c r="U63" s="2"/>
      <c r="V63" s="6">
        <f t="shared" si="33"/>
        <v>1.984126984126984E-3</v>
      </c>
      <c r="W63" s="2"/>
      <c r="X63" s="7">
        <f t="shared" si="34"/>
        <v>5427.62</v>
      </c>
      <c r="Y63" s="2"/>
      <c r="Z63" s="6">
        <f t="shared" si="35"/>
        <v>2.4122755555555555</v>
      </c>
    </row>
    <row r="64" spans="1:26" s="28" customFormat="1" outlineLevel="1" collapsed="1" x14ac:dyDescent="0.25">
      <c r="A64" s="29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41262.06</v>
      </c>
      <c r="E64" s="1"/>
      <c r="F64" s="5">
        <f t="shared" si="28"/>
        <v>7.9188885291299124E-2</v>
      </c>
      <c r="G64" s="1"/>
      <c r="H64" s="1">
        <f>SUM(OSRRefH22_10x_0)</f>
        <v>45360</v>
      </c>
      <c r="I64" s="1"/>
      <c r="J64" s="5">
        <f t="shared" si="29"/>
        <v>0.08</v>
      </c>
      <c r="K64" s="1"/>
      <c r="L64" s="1">
        <f t="shared" si="30"/>
        <v>-4097.9400000000023</v>
      </c>
      <c r="M64" s="1"/>
      <c r="N64" s="5">
        <f t="shared" si="31"/>
        <v>-9.0342592592592641E-2</v>
      </c>
      <c r="O64" s="14"/>
      <c r="P64" s="1">
        <f>SUM(OSRRefP22_10x_0)</f>
        <v>100212.01</v>
      </c>
      <c r="Q64" s="1"/>
      <c r="R64" s="5">
        <f t="shared" si="32"/>
        <v>7.6524301281700194E-2</v>
      </c>
      <c r="S64" s="1"/>
      <c r="T64" s="1">
        <f>SUM(OSRRefT22_10x_0)</f>
        <v>90720</v>
      </c>
      <c r="U64" s="1"/>
      <c r="V64" s="5">
        <f t="shared" si="33"/>
        <v>0.08</v>
      </c>
      <c r="W64" s="1"/>
      <c r="X64" s="1">
        <f t="shared" si="34"/>
        <v>9492.0099999999948</v>
      </c>
      <c r="Y64" s="1"/>
      <c r="Z64" s="5">
        <f t="shared" si="35"/>
        <v>0.10462973985890647</v>
      </c>
    </row>
    <row r="65" spans="1:26" s="24" customFormat="1" hidden="1" outlineLevel="2" x14ac:dyDescent="0.25">
      <c r="A65" s="27"/>
      <c r="B65" s="11" t="str">
        <f>CONCATENATE("          ", "6387", " - ", "COMMISSION DUE HOUSING")</f>
        <v xml:space="preserve">          6387 - COMMISSION DUE HOUSING</v>
      </c>
      <c r="C65" s="11"/>
      <c r="D65" s="7">
        <v>41262.06</v>
      </c>
      <c r="E65" s="2"/>
      <c r="F65" s="6">
        <f t="shared" si="28"/>
        <v>7.9188885291299124E-2</v>
      </c>
      <c r="G65" s="2"/>
      <c r="H65" s="7">
        <v>45360</v>
      </c>
      <c r="I65" s="2"/>
      <c r="J65" s="6">
        <f t="shared" si="29"/>
        <v>0.08</v>
      </c>
      <c r="K65" s="2"/>
      <c r="L65" s="7">
        <f t="shared" si="30"/>
        <v>-4097.9400000000023</v>
      </c>
      <c r="M65" s="2"/>
      <c r="N65" s="6">
        <f t="shared" si="31"/>
        <v>-9.0342592592592641E-2</v>
      </c>
      <c r="O65" s="11"/>
      <c r="P65" s="7">
        <v>100212.01</v>
      </c>
      <c r="Q65" s="2"/>
      <c r="R65" s="6">
        <f t="shared" si="32"/>
        <v>7.6524301281700194E-2</v>
      </c>
      <c r="S65" s="2"/>
      <c r="T65" s="7">
        <v>90720</v>
      </c>
      <c r="U65" s="2"/>
      <c r="V65" s="6">
        <f t="shared" si="33"/>
        <v>0.08</v>
      </c>
      <c r="W65" s="2"/>
      <c r="X65" s="7">
        <f t="shared" si="34"/>
        <v>9492.0099999999948</v>
      </c>
      <c r="Y65" s="2"/>
      <c r="Z65" s="6">
        <f t="shared" si="35"/>
        <v>0.10462973985890647</v>
      </c>
    </row>
    <row r="66" spans="1:26" s="28" customFormat="1" outlineLevel="1" collapsed="1" x14ac:dyDescent="0.25">
      <c r="A66" s="29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1563.93</v>
      </c>
      <c r="E66" s="1"/>
      <c r="F66" s="5">
        <f t="shared" si="28"/>
        <v>3.0014466891284983E-3</v>
      </c>
      <c r="G66" s="1"/>
      <c r="H66" s="1">
        <f>SUM(OSRRefH22_11x_0)</f>
        <v>250</v>
      </c>
      <c r="I66" s="1"/>
      <c r="J66" s="5">
        <f t="shared" si="29"/>
        <v>4.4091710758377423E-4</v>
      </c>
      <c r="K66" s="1"/>
      <c r="L66" s="1">
        <f t="shared" si="30"/>
        <v>1313.93</v>
      </c>
      <c r="M66" s="1"/>
      <c r="N66" s="5">
        <f t="shared" si="31"/>
        <v>5.2557200000000002</v>
      </c>
      <c r="O66" s="14"/>
      <c r="P66" s="1">
        <f>SUM(OSRRefP22_11x_0)</f>
        <v>1675.76</v>
      </c>
      <c r="Q66" s="1"/>
      <c r="R66" s="5">
        <f t="shared" si="32"/>
        <v>1.279650643828239E-3</v>
      </c>
      <c r="S66" s="1"/>
      <c r="T66" s="1">
        <f>SUM(OSRRefT22_11x_0)</f>
        <v>2800</v>
      </c>
      <c r="U66" s="1"/>
      <c r="V66" s="5">
        <f t="shared" si="33"/>
        <v>2.4691358024691358E-3</v>
      </c>
      <c r="W66" s="1"/>
      <c r="X66" s="1">
        <f t="shared" si="34"/>
        <v>-1124.24</v>
      </c>
      <c r="Y66" s="1"/>
      <c r="Z66" s="5">
        <f t="shared" si="35"/>
        <v>-0.40151428571428571</v>
      </c>
    </row>
    <row r="67" spans="1:26" s="24" customFormat="1" hidden="1" outlineLevel="2" x14ac:dyDescent="0.25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8"/>
        <v>0</v>
      </c>
      <c r="G67" s="2"/>
      <c r="H67" s="7">
        <v>0</v>
      </c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/>
      <c r="Q67" s="2"/>
      <c r="R67" s="6">
        <f t="shared" si="32"/>
        <v>0</v>
      </c>
      <c r="S67" s="2"/>
      <c r="T67" s="7">
        <v>0</v>
      </c>
      <c r="U67" s="2"/>
      <c r="V67" s="6">
        <f t="shared" si="33"/>
        <v>0</v>
      </c>
      <c r="W67" s="2"/>
      <c r="X67" s="7">
        <f t="shared" si="34"/>
        <v>0</v>
      </c>
      <c r="Y67" s="2"/>
      <c r="Z67" s="6">
        <f t="shared" si="35"/>
        <v>0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7"/>
      <c r="E68" s="2"/>
      <c r="F68" s="6">
        <f t="shared" si="28"/>
        <v>0</v>
      </c>
      <c r="G68" s="2"/>
      <c r="H68" s="7"/>
      <c r="I68" s="2"/>
      <c r="J68" s="6">
        <f t="shared" si="29"/>
        <v>0</v>
      </c>
      <c r="K68" s="2"/>
      <c r="L68" s="7">
        <f t="shared" si="30"/>
        <v>0</v>
      </c>
      <c r="M68" s="2"/>
      <c r="N68" s="6">
        <f t="shared" si="31"/>
        <v>0</v>
      </c>
      <c r="O68" s="11"/>
      <c r="P68" s="7">
        <v>83.83</v>
      </c>
      <c r="Q68" s="2"/>
      <c r="R68" s="6">
        <f t="shared" si="32"/>
        <v>6.4014604401657318E-5</v>
      </c>
      <c r="S68" s="2"/>
      <c r="T68" s="7">
        <v>1800</v>
      </c>
      <c r="U68" s="2"/>
      <c r="V68" s="6">
        <f t="shared" si="33"/>
        <v>1.5873015873015873E-3</v>
      </c>
      <c r="W68" s="2"/>
      <c r="X68" s="7">
        <f t="shared" si="34"/>
        <v>-1716.17</v>
      </c>
      <c r="Y68" s="2"/>
      <c r="Z68" s="6">
        <f t="shared" si="35"/>
        <v>-0.95342777777777776</v>
      </c>
    </row>
    <row r="69" spans="1:26" s="24" customFormat="1" hidden="1" outlineLevel="2" x14ac:dyDescent="0.25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7">
        <v>1563.93</v>
      </c>
      <c r="E69" s="2"/>
      <c r="F69" s="6">
        <f t="shared" si="28"/>
        <v>3.0014466891284983E-3</v>
      </c>
      <c r="G69" s="2"/>
      <c r="H69" s="7">
        <v>250</v>
      </c>
      <c r="I69" s="2"/>
      <c r="J69" s="6">
        <f t="shared" si="29"/>
        <v>4.4091710758377423E-4</v>
      </c>
      <c r="K69" s="2"/>
      <c r="L69" s="7">
        <f t="shared" si="30"/>
        <v>1313.93</v>
      </c>
      <c r="M69" s="2"/>
      <c r="N69" s="6">
        <f t="shared" si="31"/>
        <v>5.2557200000000002</v>
      </c>
      <c r="O69" s="11"/>
      <c r="P69" s="7">
        <v>1591.93</v>
      </c>
      <c r="Q69" s="2"/>
      <c r="R69" s="6">
        <f t="shared" si="32"/>
        <v>1.2156360394265818E-3</v>
      </c>
      <c r="S69" s="2"/>
      <c r="T69" s="7">
        <v>1000</v>
      </c>
      <c r="U69" s="2"/>
      <c r="V69" s="6">
        <f t="shared" si="33"/>
        <v>8.8183421516754845E-4</v>
      </c>
      <c r="W69" s="2"/>
      <c r="X69" s="7">
        <f t="shared" si="34"/>
        <v>591.93000000000006</v>
      </c>
      <c r="Y69" s="2"/>
      <c r="Z69" s="6">
        <f t="shared" si="35"/>
        <v>0.59193000000000007</v>
      </c>
    </row>
    <row r="70" spans="1:26" s="28" customFormat="1" outlineLevel="1" collapsed="1" x14ac:dyDescent="0.25">
      <c r="A70" s="29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5870.69</v>
      </c>
      <c r="E70" s="1"/>
      <c r="F70" s="5">
        <f t="shared" ref="F70:F74" si="36">IF(D$12=0,0,D70/D$12)</f>
        <v>1.1266848940425582E-2</v>
      </c>
      <c r="G70" s="1"/>
      <c r="H70" s="1">
        <f>SUM(OSRRefH22_12x_0)</f>
        <v>7150</v>
      </c>
      <c r="I70" s="1"/>
      <c r="J70" s="5">
        <f t="shared" ref="J70:J74" si="37">IF(H$12=0,0,H70/H$12)</f>
        <v>1.2610229276895944E-2</v>
      </c>
      <c r="K70" s="1"/>
      <c r="L70" s="1">
        <f t="shared" ref="L70:L74" si="38">+D70-H70</f>
        <v>-1279.3100000000004</v>
      </c>
      <c r="M70" s="1"/>
      <c r="N70" s="5">
        <f t="shared" ref="N70:N74" si="39">IF(H70=0,0,L70/H70)</f>
        <v>-0.17892447552447557</v>
      </c>
      <c r="O70" s="14"/>
      <c r="P70" s="1">
        <f>SUM(OSRRefP22_12x_0)</f>
        <v>21425.48</v>
      </c>
      <c r="Q70" s="1"/>
      <c r="R70" s="5">
        <f t="shared" ref="R70:R74" si="40">IF(P$12=0,0,P70/P$12)</f>
        <v>1.636101188495313E-2</v>
      </c>
      <c r="S70" s="1"/>
      <c r="T70" s="1">
        <f>SUM(OSRRefT22_12x_0)</f>
        <v>28600</v>
      </c>
      <c r="U70" s="1"/>
      <c r="V70" s="5">
        <f t="shared" ref="V70:V74" si="41">IF(T$12=0,0,T70/T$12)</f>
        <v>2.5220458553791889E-2</v>
      </c>
      <c r="W70" s="1"/>
      <c r="X70" s="1">
        <f t="shared" ref="X70:X74" si="42">+P70-T70</f>
        <v>-7174.52</v>
      </c>
      <c r="Y70" s="1"/>
      <c r="Z70" s="5">
        <f t="shared" ref="Z70:Z74" si="43">IF(T70=0,0,X70/T70)</f>
        <v>-0.25085734265734266</v>
      </c>
    </row>
    <row r="71" spans="1:26" s="24" customFormat="1" hidden="1" outlineLevel="2" x14ac:dyDescent="0.25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1251.96</v>
      </c>
      <c r="E71" s="2"/>
      <c r="F71" s="6">
        <f t="shared" si="36"/>
        <v>2.402723393579837E-3</v>
      </c>
      <c r="G71" s="2"/>
      <c r="H71" s="7">
        <v>450</v>
      </c>
      <c r="I71" s="2"/>
      <c r="J71" s="6">
        <f t="shared" si="37"/>
        <v>7.9365079365079365E-4</v>
      </c>
      <c r="K71" s="2"/>
      <c r="L71" s="7">
        <f t="shared" si="38"/>
        <v>801.96</v>
      </c>
      <c r="M71" s="2"/>
      <c r="N71" s="6">
        <f t="shared" si="39"/>
        <v>1.7821333333333333</v>
      </c>
      <c r="O71" s="11"/>
      <c r="P71" s="7">
        <v>2086.8000000000002</v>
      </c>
      <c r="Q71" s="2"/>
      <c r="R71" s="6">
        <f t="shared" si="40"/>
        <v>1.593530674762955E-3</v>
      </c>
      <c r="S71" s="2"/>
      <c r="T71" s="7">
        <v>1800</v>
      </c>
      <c r="U71" s="2"/>
      <c r="V71" s="6">
        <f t="shared" si="41"/>
        <v>1.5873015873015873E-3</v>
      </c>
      <c r="W71" s="2"/>
      <c r="X71" s="7">
        <f t="shared" si="42"/>
        <v>286.80000000000018</v>
      </c>
      <c r="Y71" s="2"/>
      <c r="Z71" s="6">
        <f t="shared" si="43"/>
        <v>0.15933333333333344</v>
      </c>
    </row>
    <row r="72" spans="1:26" s="24" customFormat="1" hidden="1" outlineLevel="2" x14ac:dyDescent="0.25">
      <c r="A72" s="27"/>
      <c r="B72" s="11" t="str">
        <f>CONCATENATE("          ", "6284", " - ", "TRASH REMOVAL EXPENSE")</f>
        <v xml:space="preserve">          6284 - TRASH REMOVAL EXPENSE</v>
      </c>
      <c r="C72" s="11"/>
      <c r="D72" s="7"/>
      <c r="E72" s="2"/>
      <c r="F72" s="6">
        <f t="shared" si="36"/>
        <v>0</v>
      </c>
      <c r="G72" s="2"/>
      <c r="H72" s="7">
        <v>500</v>
      </c>
      <c r="I72" s="2"/>
      <c r="J72" s="6">
        <f t="shared" si="37"/>
        <v>8.8183421516754845E-4</v>
      </c>
      <c r="K72" s="2"/>
      <c r="L72" s="7">
        <f t="shared" si="38"/>
        <v>-500</v>
      </c>
      <c r="M72" s="2"/>
      <c r="N72" s="6">
        <f t="shared" si="39"/>
        <v>-1</v>
      </c>
      <c r="O72" s="11"/>
      <c r="P72" s="7"/>
      <c r="Q72" s="2"/>
      <c r="R72" s="6">
        <f t="shared" si="40"/>
        <v>0</v>
      </c>
      <c r="S72" s="2"/>
      <c r="T72" s="7">
        <v>2000</v>
      </c>
      <c r="U72" s="2"/>
      <c r="V72" s="6">
        <f t="shared" si="41"/>
        <v>1.7636684303350969E-3</v>
      </c>
      <c r="W72" s="2"/>
      <c r="X72" s="7">
        <f t="shared" si="42"/>
        <v>-2000</v>
      </c>
      <c r="Y72" s="2"/>
      <c r="Z72" s="6">
        <f t="shared" si="43"/>
        <v>-1</v>
      </c>
    </row>
    <row r="73" spans="1:26" s="24" customFormat="1" hidden="1" outlineLevel="2" x14ac:dyDescent="0.25">
      <c r="A73" s="27"/>
      <c r="B73" s="11" t="str">
        <f>CONCATENATE("          ", "6285", " - ", "JANITORIAL SERVICES")</f>
        <v xml:space="preserve">          6285 - JANITORIAL SERVICES</v>
      </c>
      <c r="C73" s="11"/>
      <c r="D73" s="7">
        <v>4447.8599999999997</v>
      </c>
      <c r="E73" s="2"/>
      <c r="F73" s="6">
        <f t="shared" si="36"/>
        <v>8.5361970617016617E-3</v>
      </c>
      <c r="G73" s="2"/>
      <c r="H73" s="7">
        <v>4700</v>
      </c>
      <c r="I73" s="2"/>
      <c r="J73" s="6">
        <f t="shared" si="37"/>
        <v>8.2892416225749561E-3</v>
      </c>
      <c r="K73" s="2"/>
      <c r="L73" s="7">
        <f t="shared" si="38"/>
        <v>-252.14000000000033</v>
      </c>
      <c r="M73" s="2"/>
      <c r="N73" s="6">
        <f t="shared" si="39"/>
        <v>-5.3646808510638369E-2</v>
      </c>
      <c r="O73" s="11"/>
      <c r="P73" s="7">
        <v>18026.3</v>
      </c>
      <c r="Q73" s="2"/>
      <c r="R73" s="6">
        <f t="shared" si="40"/>
        <v>1.3765316274908689E-2</v>
      </c>
      <c r="S73" s="2"/>
      <c r="T73" s="7">
        <v>18800</v>
      </c>
      <c r="U73" s="2"/>
      <c r="V73" s="6">
        <f t="shared" si="41"/>
        <v>1.6578483245149912E-2</v>
      </c>
      <c r="W73" s="2"/>
      <c r="X73" s="7">
        <f t="shared" si="42"/>
        <v>-773.70000000000073</v>
      </c>
      <c r="Y73" s="2"/>
      <c r="Z73" s="6">
        <f t="shared" si="43"/>
        <v>-4.1154255319148972E-2</v>
      </c>
    </row>
    <row r="74" spans="1:26" s="24" customFormat="1" hidden="1" outlineLevel="2" x14ac:dyDescent="0.25">
      <c r="A74" s="27"/>
      <c r="B74" s="11" t="str">
        <f>CONCATENATE("          ", "6286", " - ", "LAUNDRY EXPENSE")</f>
        <v xml:space="preserve">          6286 - LAUNDRY EXPENSE</v>
      </c>
      <c r="C74" s="11"/>
      <c r="D74" s="7">
        <v>170.87</v>
      </c>
      <c r="E74" s="2"/>
      <c r="F74" s="6">
        <f t="shared" si="36"/>
        <v>3.279284851440835E-4</v>
      </c>
      <c r="G74" s="2"/>
      <c r="H74" s="7">
        <v>1500</v>
      </c>
      <c r="I74" s="2"/>
      <c r="J74" s="6">
        <f t="shared" si="37"/>
        <v>2.6455026455026454E-3</v>
      </c>
      <c r="K74" s="2"/>
      <c r="L74" s="7">
        <f t="shared" si="38"/>
        <v>-1329.13</v>
      </c>
      <c r="M74" s="2"/>
      <c r="N74" s="6">
        <f t="shared" si="39"/>
        <v>-0.88608666666666669</v>
      </c>
      <c r="O74" s="11"/>
      <c r="P74" s="7">
        <v>1312.38</v>
      </c>
      <c r="Q74" s="2"/>
      <c r="R74" s="6">
        <f t="shared" si="40"/>
        <v>1.0021649352814869E-3</v>
      </c>
      <c r="S74" s="2"/>
      <c r="T74" s="7">
        <v>6000</v>
      </c>
      <c r="U74" s="2"/>
      <c r="V74" s="6">
        <f t="shared" si="41"/>
        <v>5.2910052910052907E-3</v>
      </c>
      <c r="W74" s="2"/>
      <c r="X74" s="7">
        <f t="shared" si="42"/>
        <v>-4687.62</v>
      </c>
      <c r="Y74" s="2"/>
      <c r="Z74" s="6">
        <f t="shared" si="43"/>
        <v>-0.78127000000000002</v>
      </c>
    </row>
    <row r="75" spans="1:26" s="28" customFormat="1" outlineLevel="1" collapsed="1" x14ac:dyDescent="0.25">
      <c r="A75" s="29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SUM(OSRRefD22_13x_0)</f>
        <v>20510.460000000003</v>
      </c>
      <c r="E75" s="1"/>
      <c r="F75" s="5">
        <f t="shared" ref="F75:F83" si="44">IF(D$12=0,0,D75/D$12)</f>
        <v>3.9363048384200384E-2</v>
      </c>
      <c r="G75" s="1"/>
      <c r="H75" s="1">
        <f>SUM(OSRRefH22_13x_0)</f>
        <v>11396</v>
      </c>
      <c r="I75" s="1"/>
      <c r="J75" s="5">
        <f t="shared" ref="J75:J83" si="45">IF(H$12=0,0,H75/H$12)</f>
        <v>2.0098765432098764E-2</v>
      </c>
      <c r="K75" s="1"/>
      <c r="L75" s="1">
        <f t="shared" ref="L75:L83" si="46">+D75-H75</f>
        <v>9114.4600000000028</v>
      </c>
      <c r="M75" s="1"/>
      <c r="N75" s="5">
        <f t="shared" ref="N75:N83" si="47">IF(H75=0,0,L75/H75)</f>
        <v>0.79979466479466499</v>
      </c>
      <c r="O75" s="14"/>
      <c r="P75" s="1">
        <f>SUM(OSRRefP22_13x_0)</f>
        <v>35277.94</v>
      </c>
      <c r="Q75" s="1"/>
      <c r="R75" s="5">
        <f t="shared" ref="R75:R83" si="48">IF(P$12=0,0,P75/P$12)</f>
        <v>2.6939083540563083E-2</v>
      </c>
      <c r="S75" s="1"/>
      <c r="T75" s="1">
        <f>SUM(OSRRefT22_13x_0)</f>
        <v>45584</v>
      </c>
      <c r="U75" s="1"/>
      <c r="V75" s="5">
        <f t="shared" ref="V75:V83" si="49">IF(T$12=0,0,T75/T$12)</f>
        <v>4.0197530864197528E-2</v>
      </c>
      <c r="W75" s="1"/>
      <c r="X75" s="1">
        <f t="shared" ref="X75:X83" si="50">+P75-T75</f>
        <v>-10306.059999999998</v>
      </c>
      <c r="Y75" s="1"/>
      <c r="Z75" s="5">
        <f t="shared" ref="Z75:Z83" si="51">IF(T75=0,0,X75/T75)</f>
        <v>-0.22608941733941729</v>
      </c>
    </row>
    <row r="76" spans="1:26" s="24" customFormat="1" hidden="1" outlineLevel="2" x14ac:dyDescent="0.25">
      <c r="A76" s="27"/>
      <c r="B76" s="11" t="str">
        <f>CONCATENATE("          ", "6234", " - ", "EXPENDABLE SUPPLIES &amp; EQUIPMEN")</f>
        <v xml:space="preserve">          6234 - EXPENDABLE SUPPLIES &amp; EQUIPMEN</v>
      </c>
      <c r="C76" s="11"/>
      <c r="D76" s="7"/>
      <c r="E76" s="2"/>
      <c r="F76" s="6">
        <f t="shared" si="44"/>
        <v>0</v>
      </c>
      <c r="G76" s="2"/>
      <c r="H76" s="7"/>
      <c r="I76" s="2"/>
      <c r="J76" s="6">
        <f t="shared" si="45"/>
        <v>0</v>
      </c>
      <c r="K76" s="2"/>
      <c r="L76" s="7">
        <f t="shared" si="46"/>
        <v>0</v>
      </c>
      <c r="M76" s="2"/>
      <c r="N76" s="6">
        <f t="shared" si="47"/>
        <v>0</v>
      </c>
      <c r="O76" s="11"/>
      <c r="P76" s="7">
        <v>21.98</v>
      </c>
      <c r="Q76" s="2"/>
      <c r="R76" s="6">
        <f t="shared" si="48"/>
        <v>1.678445669507847E-5</v>
      </c>
      <c r="S76" s="2"/>
      <c r="T76" s="7"/>
      <c r="U76" s="2"/>
      <c r="V76" s="6">
        <f t="shared" si="49"/>
        <v>0</v>
      </c>
      <c r="W76" s="2"/>
      <c r="X76" s="7">
        <f t="shared" si="50"/>
        <v>21.98</v>
      </c>
      <c r="Y76" s="2"/>
      <c r="Z76" s="6">
        <f t="shared" si="51"/>
        <v>0</v>
      </c>
    </row>
    <row r="77" spans="1:26" s="24" customFormat="1" hidden="1" outlineLevel="2" x14ac:dyDescent="0.25">
      <c r="A77" s="27"/>
      <c r="B77" s="11" t="str">
        <f>CONCATENATE("          ", "6237", " - ", "JANITORIAL SUPPLIES")</f>
        <v xml:space="preserve">          6237 - JANITORIAL SUPPLIES</v>
      </c>
      <c r="C77" s="11"/>
      <c r="D77" s="7"/>
      <c r="E77" s="2"/>
      <c r="F77" s="6">
        <f t="shared" si="44"/>
        <v>0</v>
      </c>
      <c r="G77" s="2"/>
      <c r="H77" s="7">
        <v>4000</v>
      </c>
      <c r="I77" s="2"/>
      <c r="J77" s="6">
        <f t="shared" si="45"/>
        <v>7.0546737213403876E-3</v>
      </c>
      <c r="K77" s="2"/>
      <c r="L77" s="7">
        <f t="shared" si="46"/>
        <v>-4000</v>
      </c>
      <c r="M77" s="2"/>
      <c r="N77" s="6">
        <f t="shared" si="47"/>
        <v>-1</v>
      </c>
      <c r="O77" s="11"/>
      <c r="P77" s="7">
        <v>5452.04</v>
      </c>
      <c r="Q77" s="2"/>
      <c r="R77" s="6">
        <f t="shared" si="48"/>
        <v>4.1633088844329211E-3</v>
      </c>
      <c r="S77" s="2"/>
      <c r="T77" s="7">
        <v>16000</v>
      </c>
      <c r="U77" s="2"/>
      <c r="V77" s="6">
        <f t="shared" si="49"/>
        <v>1.4109347442680775E-2</v>
      </c>
      <c r="W77" s="2"/>
      <c r="X77" s="7">
        <f t="shared" si="50"/>
        <v>-10547.96</v>
      </c>
      <c r="Y77" s="2"/>
      <c r="Z77" s="6">
        <f t="shared" si="51"/>
        <v>-0.65924749999999999</v>
      </c>
    </row>
    <row r="78" spans="1:26" s="24" customFormat="1" hidden="1" outlineLevel="2" x14ac:dyDescent="0.25">
      <c r="A78" s="27"/>
      <c r="B78" s="11" t="str">
        <f>CONCATENATE("          ", "6239", " - ", "KITCHEN SUPPLIES")</f>
        <v xml:space="preserve">          6239 - KITCHEN SUPPLIES</v>
      </c>
      <c r="C78" s="11"/>
      <c r="D78" s="7">
        <v>2456.84</v>
      </c>
      <c r="E78" s="2"/>
      <c r="F78" s="6">
        <f t="shared" si="44"/>
        <v>4.7150922891168144E-3</v>
      </c>
      <c r="G78" s="2"/>
      <c r="H78" s="7">
        <v>1500</v>
      </c>
      <c r="I78" s="2"/>
      <c r="J78" s="6">
        <f t="shared" si="45"/>
        <v>2.6455026455026454E-3</v>
      </c>
      <c r="K78" s="2"/>
      <c r="L78" s="7">
        <f t="shared" si="46"/>
        <v>956.84000000000015</v>
      </c>
      <c r="M78" s="2"/>
      <c r="N78" s="6">
        <f t="shared" si="47"/>
        <v>0.63789333333333342</v>
      </c>
      <c r="O78" s="11"/>
      <c r="P78" s="7">
        <v>5556.93</v>
      </c>
      <c r="Q78" s="2"/>
      <c r="R78" s="6">
        <f t="shared" si="48"/>
        <v>4.2434054114004732E-3</v>
      </c>
      <c r="S78" s="2"/>
      <c r="T78" s="7">
        <v>6000</v>
      </c>
      <c r="U78" s="2"/>
      <c r="V78" s="6">
        <f t="shared" si="49"/>
        <v>5.2910052910052907E-3</v>
      </c>
      <c r="W78" s="2"/>
      <c r="X78" s="7">
        <f t="shared" si="50"/>
        <v>-443.06999999999971</v>
      </c>
      <c r="Y78" s="2"/>
      <c r="Z78" s="6">
        <f t="shared" si="51"/>
        <v>-7.3844999999999952E-2</v>
      </c>
    </row>
    <row r="79" spans="1:26" s="24" customFormat="1" hidden="1" outlineLevel="2" x14ac:dyDescent="0.25">
      <c r="A79" s="27"/>
      <c r="B79" s="11" t="str">
        <f>CONCATENATE("          ", "6241", " - ", "OFFICE EXPENSE")</f>
        <v xml:space="preserve">          6241 - OFFICE EXPENSE</v>
      </c>
      <c r="C79" s="11"/>
      <c r="D79" s="7">
        <v>1034.02</v>
      </c>
      <c r="E79" s="2"/>
      <c r="F79" s="6">
        <f t="shared" si="44"/>
        <v>1.9844596020874654E-3</v>
      </c>
      <c r="G79" s="2"/>
      <c r="H79" s="7">
        <v>500</v>
      </c>
      <c r="I79" s="2"/>
      <c r="J79" s="6">
        <f t="shared" si="45"/>
        <v>8.8183421516754845E-4</v>
      </c>
      <c r="K79" s="2"/>
      <c r="L79" s="7">
        <f t="shared" si="46"/>
        <v>534.02</v>
      </c>
      <c r="M79" s="2"/>
      <c r="N79" s="6">
        <f t="shared" si="47"/>
        <v>1.0680399999999999</v>
      </c>
      <c r="O79" s="11"/>
      <c r="P79" s="7">
        <v>2757.76</v>
      </c>
      <c r="Q79" s="2"/>
      <c r="R79" s="6">
        <f t="shared" si="48"/>
        <v>2.1058918696733211E-3</v>
      </c>
      <c r="S79" s="2"/>
      <c r="T79" s="7">
        <v>2000</v>
      </c>
      <c r="U79" s="2"/>
      <c r="V79" s="6">
        <f t="shared" si="49"/>
        <v>1.7636684303350969E-3</v>
      </c>
      <c r="W79" s="2"/>
      <c r="X79" s="7">
        <f t="shared" si="50"/>
        <v>757.76000000000022</v>
      </c>
      <c r="Y79" s="2"/>
      <c r="Z79" s="6">
        <f t="shared" si="51"/>
        <v>0.37888000000000011</v>
      </c>
    </row>
    <row r="80" spans="1:26" s="24" customFormat="1" hidden="1" outlineLevel="2" x14ac:dyDescent="0.25">
      <c r="A80" s="27"/>
      <c r="B80" s="11" t="str">
        <f>CONCATENATE("          ", "6243", " - ", "PAPER SUPPLIES")</f>
        <v xml:space="preserve">          6243 - PAPER SUPPLIES</v>
      </c>
      <c r="C80" s="11"/>
      <c r="D80" s="7">
        <v>15068.61</v>
      </c>
      <c r="E80" s="2"/>
      <c r="F80" s="6">
        <f t="shared" si="44"/>
        <v>2.8919216073781166E-2</v>
      </c>
      <c r="G80" s="2"/>
      <c r="H80" s="7">
        <v>5000</v>
      </c>
      <c r="I80" s="2"/>
      <c r="J80" s="6">
        <f t="shared" si="45"/>
        <v>8.8183421516754845E-3</v>
      </c>
      <c r="K80" s="2"/>
      <c r="L80" s="7">
        <f t="shared" si="46"/>
        <v>10068.61</v>
      </c>
      <c r="M80" s="2"/>
      <c r="N80" s="6">
        <f t="shared" si="47"/>
        <v>2.013722</v>
      </c>
      <c r="O80" s="11"/>
      <c r="P80" s="7">
        <v>19410.900000000001</v>
      </c>
      <c r="Q80" s="2"/>
      <c r="R80" s="6">
        <f t="shared" si="48"/>
        <v>1.4822630139331149E-2</v>
      </c>
      <c r="S80" s="2"/>
      <c r="T80" s="7">
        <v>20000</v>
      </c>
      <c r="U80" s="2"/>
      <c r="V80" s="6">
        <f t="shared" si="49"/>
        <v>1.7636684303350969E-2</v>
      </c>
      <c r="W80" s="2"/>
      <c r="X80" s="7">
        <f t="shared" si="50"/>
        <v>-589.09999999999854</v>
      </c>
      <c r="Y80" s="2"/>
      <c r="Z80" s="6">
        <f t="shared" si="51"/>
        <v>-2.9454999999999926E-2</v>
      </c>
    </row>
    <row r="81" spans="1:26" s="24" customFormat="1" hidden="1" outlineLevel="2" x14ac:dyDescent="0.25">
      <c r="A81" s="27"/>
      <c r="B81" s="11" t="str">
        <f>CONCATENATE("          ", "6244", " - ", "SAFETY SUPPLY EXPENSE")</f>
        <v xml:space="preserve">          6244 - SAFETY SUPPLY EXPENSE</v>
      </c>
      <c r="C81" s="11"/>
      <c r="D81" s="7"/>
      <c r="E81" s="2"/>
      <c r="F81" s="6">
        <f t="shared" si="44"/>
        <v>0</v>
      </c>
      <c r="G81" s="2"/>
      <c r="H81" s="7">
        <v>200</v>
      </c>
      <c r="I81" s="2"/>
      <c r="J81" s="6">
        <f t="shared" si="45"/>
        <v>3.5273368606701942E-4</v>
      </c>
      <c r="K81" s="2"/>
      <c r="L81" s="7">
        <f t="shared" si="46"/>
        <v>-200</v>
      </c>
      <c r="M81" s="2"/>
      <c r="N81" s="6">
        <f t="shared" si="47"/>
        <v>-1</v>
      </c>
      <c r="O81" s="11"/>
      <c r="P81" s="7"/>
      <c r="Q81" s="2"/>
      <c r="R81" s="6">
        <f t="shared" si="48"/>
        <v>0</v>
      </c>
      <c r="S81" s="2"/>
      <c r="T81" s="7">
        <v>800</v>
      </c>
      <c r="U81" s="2"/>
      <c r="V81" s="6">
        <f t="shared" si="49"/>
        <v>7.0546737213403885E-4</v>
      </c>
      <c r="W81" s="2"/>
      <c r="X81" s="7">
        <f t="shared" si="50"/>
        <v>-800</v>
      </c>
      <c r="Y81" s="2"/>
      <c r="Z81" s="6">
        <f t="shared" si="51"/>
        <v>-1</v>
      </c>
    </row>
    <row r="82" spans="1:26" s="24" customFormat="1" hidden="1" outlineLevel="2" x14ac:dyDescent="0.25">
      <c r="A82" s="27"/>
      <c r="B82" s="11" t="str">
        <f>CONCATENATE("          ", "6247", " - ", "STORE SUPPLIES")</f>
        <v xml:space="preserve">          6247 - STORE SUPPLIES</v>
      </c>
      <c r="C82" s="11"/>
      <c r="D82" s="7">
        <v>80.59</v>
      </c>
      <c r="E82" s="2"/>
      <c r="F82" s="6">
        <f t="shared" si="44"/>
        <v>1.5466586655212553E-4</v>
      </c>
      <c r="G82" s="2"/>
      <c r="H82" s="7"/>
      <c r="I82" s="2"/>
      <c r="J82" s="6">
        <f t="shared" si="45"/>
        <v>0</v>
      </c>
      <c r="K82" s="2"/>
      <c r="L82" s="7">
        <f t="shared" si="46"/>
        <v>80.59</v>
      </c>
      <c r="M82" s="2"/>
      <c r="N82" s="6">
        <f t="shared" si="47"/>
        <v>0</v>
      </c>
      <c r="O82" s="11"/>
      <c r="P82" s="7">
        <v>207.93</v>
      </c>
      <c r="Q82" s="2"/>
      <c r="R82" s="6">
        <f t="shared" si="48"/>
        <v>1.5878034943619956E-4</v>
      </c>
      <c r="S82" s="2"/>
      <c r="T82" s="7"/>
      <c r="U82" s="2"/>
      <c r="V82" s="6">
        <f t="shared" si="49"/>
        <v>0</v>
      </c>
      <c r="W82" s="2"/>
      <c r="X82" s="7">
        <f t="shared" si="50"/>
        <v>207.93</v>
      </c>
      <c r="Y82" s="2"/>
      <c r="Z82" s="6">
        <f t="shared" si="51"/>
        <v>0</v>
      </c>
    </row>
    <row r="83" spans="1:26" s="24" customFormat="1" hidden="1" outlineLevel="2" x14ac:dyDescent="0.25">
      <c r="A83" s="27"/>
      <c r="B83" s="11" t="str">
        <f>CONCATENATE("          ", "6248", " - ", "UNIFORMS")</f>
        <v xml:space="preserve">          6248 - UNIFORMS</v>
      </c>
      <c r="C83" s="11"/>
      <c r="D83" s="7">
        <v>1870.4</v>
      </c>
      <c r="E83" s="2"/>
      <c r="F83" s="6">
        <f t="shared" si="44"/>
        <v>3.5896145526628067E-3</v>
      </c>
      <c r="G83" s="2"/>
      <c r="H83" s="7">
        <v>196</v>
      </c>
      <c r="I83" s="2"/>
      <c r="J83" s="6">
        <f t="shared" si="45"/>
        <v>3.45679012345679E-4</v>
      </c>
      <c r="K83" s="2"/>
      <c r="L83" s="7">
        <f t="shared" si="46"/>
        <v>1674.4</v>
      </c>
      <c r="M83" s="2"/>
      <c r="N83" s="6">
        <f t="shared" si="47"/>
        <v>8.5428571428571427</v>
      </c>
      <c r="O83" s="11"/>
      <c r="P83" s="7">
        <v>1870.4</v>
      </c>
      <c r="Q83" s="2"/>
      <c r="R83" s="6">
        <f t="shared" si="48"/>
        <v>1.4282824295939384E-3</v>
      </c>
      <c r="S83" s="2"/>
      <c r="T83" s="7">
        <v>784</v>
      </c>
      <c r="U83" s="2"/>
      <c r="V83" s="6">
        <f t="shared" si="49"/>
        <v>6.91358024691358E-4</v>
      </c>
      <c r="W83" s="2"/>
      <c r="X83" s="7">
        <f t="shared" si="50"/>
        <v>1086.4000000000001</v>
      </c>
      <c r="Y83" s="2"/>
      <c r="Z83" s="6">
        <f t="shared" si="51"/>
        <v>1.3857142857142859</v>
      </c>
    </row>
    <row r="84" spans="1:26" s="28" customFormat="1" outlineLevel="1" collapsed="1" x14ac:dyDescent="0.25">
      <c r="A84" s="29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SUM(OSRRefD22_14x_0)</f>
        <v>389</v>
      </c>
      <c r="E84" s="1"/>
      <c r="F84" s="5">
        <f t="shared" ref="F84:F85" si="52">IF(D$12=0,0,D84/D$12)</f>
        <v>7.4655691883331466E-4</v>
      </c>
      <c r="G84" s="1"/>
      <c r="H84" s="1">
        <f>SUM(OSRRefH22_14x_0)</f>
        <v>175</v>
      </c>
      <c r="I84" s="1"/>
      <c r="J84" s="5">
        <f t="shared" ref="J84:J85" si="53">IF(H$12=0,0,H84/H$12)</f>
        <v>3.0864197530864197E-4</v>
      </c>
      <c r="K84" s="1"/>
      <c r="L84" s="1">
        <f t="shared" ref="L84:L85" si="54">+D84-H84</f>
        <v>214</v>
      </c>
      <c r="M84" s="1"/>
      <c r="N84" s="5">
        <f t="shared" ref="N84:N85" si="55">IF(H84=0,0,L84/H84)</f>
        <v>1.2228571428571429</v>
      </c>
      <c r="O84" s="14"/>
      <c r="P84" s="1">
        <f>SUM(OSRRefP22_14x_0)</f>
        <v>956</v>
      </c>
      <c r="Q84" s="1"/>
      <c r="R84" s="5">
        <f t="shared" ref="R84:R85" si="56">IF(P$12=0,0,P84/P$12)</f>
        <v>7.3002459510896343E-4</v>
      </c>
      <c r="S84" s="1"/>
      <c r="T84" s="1">
        <f>SUM(OSRRefT22_14x_0)</f>
        <v>700</v>
      </c>
      <c r="U84" s="1"/>
      <c r="V84" s="5">
        <f t="shared" ref="V84:V85" si="57">IF(T$12=0,0,T84/T$12)</f>
        <v>6.1728395061728394E-4</v>
      </c>
      <c r="W84" s="1"/>
      <c r="X84" s="1">
        <f t="shared" ref="X84:X85" si="58">+P84-T84</f>
        <v>256</v>
      </c>
      <c r="Y84" s="1"/>
      <c r="Z84" s="5">
        <f t="shared" ref="Z84:Z85" si="59">IF(T84=0,0,X84/T84)</f>
        <v>0.36571428571428571</v>
      </c>
    </row>
    <row r="85" spans="1:26" s="24" customFormat="1" hidden="1" outlineLevel="2" x14ac:dyDescent="0.25">
      <c r="A85" s="27"/>
      <c r="B85" s="11" t="str">
        <f>CONCATENATE("          ", "6309", " - ", "TELEPHONE")</f>
        <v xml:space="preserve">          6309 - TELEPHONE</v>
      </c>
      <c r="C85" s="11"/>
      <c r="D85" s="7">
        <v>389</v>
      </c>
      <c r="E85" s="2"/>
      <c r="F85" s="6">
        <f t="shared" si="52"/>
        <v>7.4655691883331466E-4</v>
      </c>
      <c r="G85" s="2"/>
      <c r="H85" s="7">
        <v>175</v>
      </c>
      <c r="I85" s="2"/>
      <c r="J85" s="6">
        <f t="shared" si="53"/>
        <v>3.0864197530864197E-4</v>
      </c>
      <c r="K85" s="2"/>
      <c r="L85" s="7">
        <f t="shared" si="54"/>
        <v>214</v>
      </c>
      <c r="M85" s="2"/>
      <c r="N85" s="6">
        <f t="shared" si="55"/>
        <v>1.2228571428571429</v>
      </c>
      <c r="O85" s="11"/>
      <c r="P85" s="7">
        <v>956</v>
      </c>
      <c r="Q85" s="2"/>
      <c r="R85" s="6">
        <f t="shared" si="56"/>
        <v>7.3002459510896343E-4</v>
      </c>
      <c r="S85" s="2"/>
      <c r="T85" s="7">
        <v>700</v>
      </c>
      <c r="U85" s="2"/>
      <c r="V85" s="6">
        <f t="shared" si="57"/>
        <v>6.1728395061728394E-4</v>
      </c>
      <c r="W85" s="2"/>
      <c r="X85" s="7">
        <f t="shared" si="58"/>
        <v>256</v>
      </c>
      <c r="Y85" s="2"/>
      <c r="Z85" s="6">
        <f t="shared" si="59"/>
        <v>0.36571428571428571</v>
      </c>
    </row>
    <row r="86" spans="1:26" s="60" customFormat="1" x14ac:dyDescent="0.25">
      <c r="A86" s="36"/>
      <c r="B86" s="36"/>
      <c r="C86" s="36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25">
      <c r="A87" s="10"/>
      <c r="B87" s="25" t="s">
        <v>293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6" t="s">
        <v>277</v>
      </c>
      <c r="C89" s="26"/>
      <c r="D89" s="21">
        <f>+D23-D25+D87</f>
        <v>147243.65000000002</v>
      </c>
      <c r="E89" s="13"/>
      <c r="F89" s="20">
        <f>IF(D$12=0,0,D89/D$12)</f>
        <v>0.28258551584002828</v>
      </c>
      <c r="G89" s="13"/>
      <c r="H89" s="21">
        <f>+H23-H25+H87</f>
        <v>210198.72262884615</v>
      </c>
      <c r="I89" s="13"/>
      <c r="J89" s="20">
        <f>IF(H$12=0,0,H89/H$12)</f>
        <v>0.3707208511972595</v>
      </c>
      <c r="K89" s="15"/>
      <c r="L89" s="21">
        <f>+D89-H89</f>
        <v>-62955.07262884613</v>
      </c>
      <c r="M89" s="15"/>
      <c r="N89" s="20">
        <f>IF(H89=0,0,L89/H89)</f>
        <v>-0.29950264131722476</v>
      </c>
      <c r="O89" s="25"/>
      <c r="P89" s="21">
        <f>+P23-P25+P87</f>
        <v>455324.8800000003</v>
      </c>
      <c r="Q89" s="13"/>
      <c r="R89" s="20">
        <f>IF(P$12=0,0,P89/P$12)</f>
        <v>0.34769703050736145</v>
      </c>
      <c r="S89" s="13"/>
      <c r="T89" s="21">
        <f>+T23-T25+T87</f>
        <v>170017.11646384629</v>
      </c>
      <c r="U89" s="13"/>
      <c r="V89" s="20">
        <f>IF(T$12=0,0,T89/T$12)</f>
        <v>0.14992691046194559</v>
      </c>
      <c r="W89" s="15"/>
      <c r="X89" s="21">
        <f>+P89-T89</f>
        <v>285307.763536154</v>
      </c>
      <c r="Y89" s="15"/>
      <c r="Z89" s="20">
        <f>IF(T89=0,0,X89/T89)</f>
        <v>1.6781120011338622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2"/>
      <c r="B91" s="10" t="s">
        <v>128</v>
      </c>
      <c r="C91" s="10"/>
      <c r="D91" s="4">
        <v>53777.2</v>
      </c>
      <c r="E91" s="4"/>
      <c r="F91" s="12">
        <f>IF(D$12=0,0,D91/D$12)</f>
        <v>0.10320755973131858</v>
      </c>
      <c r="G91" s="4"/>
      <c r="H91" s="4">
        <v>68832</v>
      </c>
      <c r="I91" s="4"/>
      <c r="J91" s="12">
        <f>IF(H$12=0,0,H91/H$12)</f>
        <v>0.12139682539682539</v>
      </c>
      <c r="K91" s="4"/>
      <c r="L91" s="4">
        <f>+D91-H91</f>
        <v>-15054.800000000003</v>
      </c>
      <c r="M91" s="4"/>
      <c r="N91" s="12">
        <f>IF(H91=0,0,L91/H91)</f>
        <v>-0.21871803812180385</v>
      </c>
      <c r="O91" s="10"/>
      <c r="P91" s="4">
        <v>151372.57</v>
      </c>
      <c r="Q91" s="4"/>
      <c r="R91" s="12">
        <f>IF(P$12=0,0,P91/P$12)</f>
        <v>0.11559173548624814</v>
      </c>
      <c r="S91" s="4"/>
      <c r="T91" s="4">
        <v>130399</v>
      </c>
      <c r="U91" s="4"/>
      <c r="V91" s="12">
        <f>IF(T$12=0,0,T91/T$12)</f>
        <v>0.11499029982363315</v>
      </c>
      <c r="W91" s="4"/>
      <c r="X91" s="4">
        <f>+P91-T91</f>
        <v>20973.570000000007</v>
      </c>
      <c r="Y91" s="4"/>
      <c r="Z91" s="12">
        <f>IF(T91=0,0,X91/T91)</f>
        <v>0.16084149418323765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6" t="s">
        <v>126</v>
      </c>
      <c r="C93" s="26"/>
      <c r="D93" s="31">
        <f>+D89-D91</f>
        <v>93466.450000000026</v>
      </c>
      <c r="E93" s="13"/>
      <c r="F93" s="33">
        <f>IF(D$12=0,0,D93/D$12)</f>
        <v>0.17937795610870971</v>
      </c>
      <c r="G93" s="13"/>
      <c r="H93" s="31">
        <f>+H89-H91</f>
        <v>141366.72262884615</v>
      </c>
      <c r="I93" s="13"/>
      <c r="J93" s="33">
        <f>IF(H$12=0,0,H93/H$12)</f>
        <v>0.24932402580043414</v>
      </c>
      <c r="K93" s="15"/>
      <c r="L93" s="31">
        <f>D93-H93</f>
        <v>-47900.272628846127</v>
      </c>
      <c r="M93" s="15"/>
      <c r="N93" s="33">
        <f>IF(H93=0,0,L93/H93)</f>
        <v>-0.33883697477097757</v>
      </c>
      <c r="O93" s="25"/>
      <c r="P93" s="31">
        <f>+P89-P91</f>
        <v>303952.31000000029</v>
      </c>
      <c r="Q93" s="13"/>
      <c r="R93" s="33">
        <f>IF(P$12=0,0,P93/P$12)</f>
        <v>0.23210529502111332</v>
      </c>
      <c r="S93" s="13"/>
      <c r="T93" s="31">
        <f>+T89-T91</f>
        <v>39618.116463846294</v>
      </c>
      <c r="U93" s="13"/>
      <c r="V93" s="33">
        <f>IF(T$12=0,0,T93/T$12)</f>
        <v>3.4936610638312431E-2</v>
      </c>
      <c r="W93" s="15"/>
      <c r="X93" s="31">
        <f>P93-T93</f>
        <v>264334.19353615399</v>
      </c>
      <c r="Y93" s="15"/>
      <c r="Z93" s="33">
        <f>IF(T93=0,0,X93/T93)</f>
        <v>6.6720535232252507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6" t="s">
        <v>294</v>
      </c>
      <c r="C96" s="26"/>
      <c r="D96" s="35">
        <f>SUM(D93:D95)</f>
        <v>93466.450000000026</v>
      </c>
      <c r="E96" s="13"/>
      <c r="F96" s="32">
        <f>IF(D$12=0,0,D96/D$12)</f>
        <v>0.17937795610870971</v>
      </c>
      <c r="G96" s="13"/>
      <c r="H96" s="35">
        <f>SUM(H93:H95)</f>
        <v>141366.72262884615</v>
      </c>
      <c r="I96" s="13"/>
      <c r="J96" s="32">
        <f>IF(H$12=0,0,H96/H$12)</f>
        <v>0.24932402580043414</v>
      </c>
      <c r="K96" s="15"/>
      <c r="L96" s="35">
        <f>+D96-H96</f>
        <v>-47900.272628846127</v>
      </c>
      <c r="M96" s="15"/>
      <c r="N96" s="32">
        <f>IF(H96=0,0,L96/H96)</f>
        <v>-0.33883697477097757</v>
      </c>
      <c r="O96" s="25"/>
      <c r="P96" s="35">
        <f>SUM(P93:P95)</f>
        <v>303952.31000000029</v>
      </c>
      <c r="Q96" s="13"/>
      <c r="R96" s="32">
        <f>IF(P$12=0,0,P96/P$12)</f>
        <v>0.23210529502111332</v>
      </c>
      <c r="S96" s="13"/>
      <c r="T96" s="35">
        <f>SUM(T93:T95)</f>
        <v>39618.116463846294</v>
      </c>
      <c r="U96" s="13"/>
      <c r="V96" s="32">
        <f>IF(T$12=0,0,T96/T$12)</f>
        <v>3.4936610638312431E-2</v>
      </c>
      <c r="W96" s="15"/>
      <c r="X96" s="35">
        <f>+P96-T96</f>
        <v>264334.19353615399</v>
      </c>
      <c r="Y96" s="15"/>
      <c r="Z96" s="32">
        <f>IF(T96=0,0,X96/T96)</f>
        <v>6.6720535232252507</v>
      </c>
    </row>
    <row r="97" spans="1:24" ht="15.75" thickTop="1" x14ac:dyDescent="0.25">
      <c r="A97" s="9"/>
      <c r="C97" s="9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9">
        <v>44517.962875613426</v>
      </c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A99" s="9"/>
      <c r="B99" s="62" t="s">
        <v>56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4" x14ac:dyDescent="0.25">
      <c r="A100" s="9"/>
      <c r="B100" s="57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4" x14ac:dyDescent="0.25"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","444", " - ", "Parkside Dining Hall")</f>
        <v>Department 444 - Parkside Dining Hall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799980.21</v>
      </c>
      <c r="E12" s="4"/>
      <c r="F12" s="12"/>
      <c r="G12" s="4"/>
      <c r="H12" s="4">
        <f>SUM(OSRRefH13x_0)</f>
        <v>693000</v>
      </c>
      <c r="I12" s="4"/>
      <c r="J12" s="12"/>
      <c r="K12" s="4"/>
      <c r="L12" s="4">
        <f t="shared" ref="L12:L16" si="0">+D12-H12</f>
        <v>106980.20999999996</v>
      </c>
      <c r="M12" s="4"/>
      <c r="N12" s="12">
        <f t="shared" ref="N12:N16" si="1">IF(H12=0,0,L12/H12)</f>
        <v>0.15437259740259734</v>
      </c>
      <c r="O12" s="10"/>
      <c r="P12" s="4">
        <f>SUM(OSRRefP13x_0)</f>
        <v>1740188.6199999999</v>
      </c>
      <c r="Q12" s="4"/>
      <c r="R12" s="12"/>
      <c r="S12" s="4"/>
      <c r="T12" s="4">
        <f>SUM(OSRRefT13x_0)</f>
        <v>1386000</v>
      </c>
      <c r="U12" s="4"/>
      <c r="V12" s="12"/>
      <c r="W12" s="4"/>
      <c r="X12" s="4">
        <f t="shared" ref="X12:X16" si="2">+P12-T12</f>
        <v>354188.61999999988</v>
      </c>
      <c r="Y12" s="4"/>
      <c r="Z12" s="12">
        <f t="shared" ref="Z12:Z16" si="3">IF(T12=0,0,X12/T12)</f>
        <v>0.25554734487734482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--195.5</f>
        <v>195.5</v>
      </c>
      <c r="E13" s="2"/>
      <c r="F13" s="19"/>
      <c r="G13" s="2"/>
      <c r="H13" s="2"/>
      <c r="I13" s="2"/>
      <c r="J13" s="19"/>
      <c r="K13" s="2"/>
      <c r="L13" s="2">
        <f t="shared" si="0"/>
        <v>195.5</v>
      </c>
      <c r="M13" s="2"/>
      <c r="N13" s="19">
        <f t="shared" si="1"/>
        <v>0</v>
      </c>
      <c r="O13" s="11"/>
      <c r="P13" s="2">
        <f>--394.14</f>
        <v>394.14</v>
      </c>
      <c r="Q13" s="2"/>
      <c r="R13" s="19"/>
      <c r="S13" s="2"/>
      <c r="T13" s="2"/>
      <c r="U13" s="2"/>
      <c r="V13" s="19"/>
      <c r="W13" s="2"/>
      <c r="X13" s="2">
        <f t="shared" si="2"/>
        <v>394.14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693000</v>
      </c>
      <c r="I14" s="2"/>
      <c r="J14" s="19"/>
      <c r="K14" s="2"/>
      <c r="L14" s="2">
        <f t="shared" si="0"/>
        <v>-693000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1386000</v>
      </c>
      <c r="U14" s="2"/>
      <c r="V14" s="19"/>
      <c r="W14" s="2"/>
      <c r="X14" s="2">
        <f t="shared" si="2"/>
        <v>-1386000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--796990.21</f>
        <v>796990.21</v>
      </c>
      <c r="E15" s="2"/>
      <c r="F15" s="19"/>
      <c r="G15" s="2"/>
      <c r="H15" s="2"/>
      <c r="I15" s="2"/>
      <c r="J15" s="19"/>
      <c r="K15" s="2"/>
      <c r="L15" s="2">
        <f t="shared" si="0"/>
        <v>796990.21</v>
      </c>
      <c r="M15" s="2"/>
      <c r="N15" s="19">
        <f t="shared" si="1"/>
        <v>0</v>
      </c>
      <c r="O15" s="11"/>
      <c r="P15" s="2">
        <f>--1728783.57</f>
        <v>1728783.57</v>
      </c>
      <c r="Q15" s="2"/>
      <c r="R15" s="19"/>
      <c r="S15" s="2"/>
      <c r="T15" s="2"/>
      <c r="U15" s="2"/>
      <c r="V15" s="19"/>
      <c r="W15" s="2"/>
      <c r="X15" s="2">
        <f t="shared" si="2"/>
        <v>1728783.57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--2794.5</f>
        <v>2794.5</v>
      </c>
      <c r="E16" s="2"/>
      <c r="F16" s="19"/>
      <c r="G16" s="2"/>
      <c r="H16" s="2"/>
      <c r="I16" s="2"/>
      <c r="J16" s="19"/>
      <c r="K16" s="2"/>
      <c r="L16" s="2">
        <f t="shared" si="0"/>
        <v>2794.5</v>
      </c>
      <c r="M16" s="2"/>
      <c r="N16" s="19">
        <f t="shared" si="1"/>
        <v>0</v>
      </c>
      <c r="O16" s="11"/>
      <c r="P16" s="2">
        <f>--11010.91</f>
        <v>11010.91</v>
      </c>
      <c r="Q16" s="2"/>
      <c r="R16" s="19"/>
      <c r="S16" s="2"/>
      <c r="T16" s="2"/>
      <c r="U16" s="2"/>
      <c r="V16" s="19"/>
      <c r="W16" s="2"/>
      <c r="X16" s="2">
        <f t="shared" si="2"/>
        <v>11010.91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257</v>
      </c>
      <c r="C18" s="10"/>
      <c r="D18" s="4">
        <f>SUM(OSRRefD16x_0)</f>
        <v>222191.58</v>
      </c>
      <c r="E18" s="4"/>
      <c r="F18" s="12">
        <f t="shared" ref="F18:F21" si="4">IF(D$12=0,0,D18/D$12)</f>
        <v>0.277746345750228</v>
      </c>
      <c r="G18" s="4"/>
      <c r="H18" s="4">
        <f>SUM(OSRRefH16x_0)</f>
        <v>180180</v>
      </c>
      <c r="I18" s="4"/>
      <c r="J18" s="12">
        <f t="shared" ref="J18:J21" si="5">IF(H$12=0,0,H18/H$12)</f>
        <v>0.26</v>
      </c>
      <c r="K18" s="4"/>
      <c r="L18" s="4">
        <f t="shared" ref="L18:L21" si="6">+D18-H18</f>
        <v>42011.579999999987</v>
      </c>
      <c r="M18" s="4"/>
      <c r="N18" s="12">
        <f t="shared" ref="N18:N21" si="7">IF(H18=0,0,L18/H18)</f>
        <v>0.2331645021645021</v>
      </c>
      <c r="O18" s="10"/>
      <c r="P18" s="4">
        <f>SUM(OSRRefP16x_0)</f>
        <v>494499.23</v>
      </c>
      <c r="Q18" s="4"/>
      <c r="R18" s="12">
        <f t="shared" ref="R18:R21" si="8">IF(P$12=0,0,P18/P$12)</f>
        <v>0.28416415572238374</v>
      </c>
      <c r="S18" s="4"/>
      <c r="T18" s="4">
        <f>SUM(OSRRefT16x_0)</f>
        <v>393624</v>
      </c>
      <c r="U18" s="4"/>
      <c r="V18" s="12">
        <f t="shared" ref="V18:V21" si="9">IF(T$12=0,0,T18/T$12)</f>
        <v>0.28399999999999997</v>
      </c>
      <c r="W18" s="4"/>
      <c r="X18" s="4">
        <f t="shared" ref="X18:X21" si="10">+P18-T18</f>
        <v>100875.22999999998</v>
      </c>
      <c r="Y18" s="4"/>
      <c r="Z18" s="12">
        <f t="shared" ref="Z18:Z21" si="11">IF(T18=0,0,X18/T18)</f>
        <v>0.256273067699124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180180</v>
      </c>
      <c r="I19" s="2"/>
      <c r="J19" s="19">
        <f t="shared" si="5"/>
        <v>0.26</v>
      </c>
      <c r="K19" s="2"/>
      <c r="L19" s="2">
        <f t="shared" si="6"/>
        <v>-180180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393624</v>
      </c>
      <c r="U19" s="2"/>
      <c r="V19" s="19">
        <f t="shared" si="9"/>
        <v>0.28399999999999997</v>
      </c>
      <c r="W19" s="2"/>
      <c r="X19" s="2">
        <f t="shared" si="10"/>
        <v>-393624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220442.58</v>
      </c>
      <c r="E20" s="2"/>
      <c r="F20" s="19">
        <f t="shared" si="4"/>
        <v>0.2755600416665307</v>
      </c>
      <c r="G20" s="2"/>
      <c r="H20" s="2"/>
      <c r="I20" s="2"/>
      <c r="J20" s="19">
        <f t="shared" si="5"/>
        <v>0</v>
      </c>
      <c r="K20" s="2"/>
      <c r="L20" s="2">
        <f t="shared" si="6"/>
        <v>220442.58</v>
      </c>
      <c r="M20" s="2"/>
      <c r="N20" s="19">
        <f t="shared" si="7"/>
        <v>0</v>
      </c>
      <c r="O20" s="11"/>
      <c r="P20" s="2">
        <v>506217.23</v>
      </c>
      <c r="Q20" s="2"/>
      <c r="R20" s="19">
        <f t="shared" si="8"/>
        <v>0.29089790852672054</v>
      </c>
      <c r="S20" s="2"/>
      <c r="T20" s="2"/>
      <c r="U20" s="2"/>
      <c r="V20" s="19">
        <f t="shared" si="9"/>
        <v>0</v>
      </c>
      <c r="W20" s="2"/>
      <c r="X20" s="2">
        <f t="shared" si="10"/>
        <v>506217.23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1749</v>
      </c>
      <c r="E21" s="2"/>
      <c r="F21" s="19">
        <f t="shared" si="4"/>
        <v>2.1863040836972705E-3</v>
      </c>
      <c r="G21" s="2"/>
      <c r="H21" s="2"/>
      <c r="I21" s="2"/>
      <c r="J21" s="19">
        <f t="shared" si="5"/>
        <v>0</v>
      </c>
      <c r="K21" s="2"/>
      <c r="L21" s="2">
        <f t="shared" si="6"/>
        <v>1749</v>
      </c>
      <c r="M21" s="2"/>
      <c r="N21" s="19">
        <f t="shared" si="7"/>
        <v>0</v>
      </c>
      <c r="O21" s="11"/>
      <c r="P21" s="2">
        <v>-11718</v>
      </c>
      <c r="Q21" s="2"/>
      <c r="R21" s="19">
        <f t="shared" si="8"/>
        <v>-6.7337528043368089E-3</v>
      </c>
      <c r="S21" s="2"/>
      <c r="T21" s="2"/>
      <c r="U21" s="2"/>
      <c r="V21" s="19">
        <f t="shared" si="9"/>
        <v>0</v>
      </c>
      <c r="W21" s="2"/>
      <c r="X21" s="2">
        <f t="shared" si="10"/>
        <v>-11718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108</v>
      </c>
      <c r="C23" s="26"/>
      <c r="D23" s="21">
        <f>D12-D18</f>
        <v>577788.63</v>
      </c>
      <c r="E23" s="13"/>
      <c r="F23" s="20">
        <f>IF(D$12=0,0,D23/D$12)</f>
        <v>0.72225365424977206</v>
      </c>
      <c r="G23" s="13"/>
      <c r="H23" s="21">
        <f>H12-H18</f>
        <v>512820</v>
      </c>
      <c r="I23" s="13"/>
      <c r="J23" s="20">
        <f>IF(H$12=0,0,H23/H$12)</f>
        <v>0.74</v>
      </c>
      <c r="K23" s="15"/>
      <c r="L23" s="21">
        <f>+D23-H23</f>
        <v>64968.630000000005</v>
      </c>
      <c r="M23" s="15"/>
      <c r="N23" s="20">
        <f>IF(H23=0,0,L23/H23)</f>
        <v>0.1266889551889552</v>
      </c>
      <c r="O23" s="25"/>
      <c r="P23" s="21">
        <f>P12-P18</f>
        <v>1245689.3899999999</v>
      </c>
      <c r="Q23" s="13"/>
      <c r="R23" s="20">
        <f>IF(P$12=0,0,P23/P$12)</f>
        <v>0.71583584427761626</v>
      </c>
      <c r="S23" s="13"/>
      <c r="T23" s="21">
        <f>T12-T18</f>
        <v>992376</v>
      </c>
      <c r="U23" s="13"/>
      <c r="V23" s="20">
        <f>IF(T$12=0,0,T23/T$12)</f>
        <v>0.71599999999999997</v>
      </c>
      <c r="W23" s="15"/>
      <c r="X23" s="21">
        <f>+P23-T23</f>
        <v>253313.3899999999</v>
      </c>
      <c r="Y23" s="15"/>
      <c r="Z23" s="20">
        <f>IF(T23=0,0,X23/T23)</f>
        <v>0.25525948833909717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295</v>
      </c>
      <c r="C25" s="10"/>
      <c r="D25" s="22">
        <f>SUM(OSRRefD22x_0)</f>
        <v>308528.07999999996</v>
      </c>
      <c r="E25" s="22"/>
      <c r="F25" s="34">
        <f t="shared" ref="F25:F36" si="12">IF(D$12=0,0,D25/D$12)</f>
        <v>0.38566964050273189</v>
      </c>
      <c r="G25" s="22"/>
      <c r="H25" s="22">
        <f>SUM(OSRRefH22x_0)</f>
        <v>285910.27461402491</v>
      </c>
      <c r="I25" s="22"/>
      <c r="J25" s="34">
        <f t="shared" ref="J25:J36" si="13">IF(H$12=0,0,H25/H$12)</f>
        <v>0.41256893883697676</v>
      </c>
      <c r="K25" s="4"/>
      <c r="L25" s="22">
        <f t="shared" ref="L25:L36" si="14">+D25-H25</f>
        <v>22617.805385975051</v>
      </c>
      <c r="M25" s="4"/>
      <c r="N25" s="34">
        <f t="shared" ref="N25:N36" si="15">IF(H25=0,0,L25/H25)</f>
        <v>7.910805379942637E-2</v>
      </c>
      <c r="O25" s="10"/>
      <c r="P25" s="22">
        <f>SUM(OSRRefP22x_0)</f>
        <v>731042.87000000023</v>
      </c>
      <c r="Q25" s="22"/>
      <c r="R25" s="34">
        <f t="shared" ref="R25:R36" si="16">IF(P$12=0,0,P25/P$12)</f>
        <v>0.42009404129995992</v>
      </c>
      <c r="S25" s="22"/>
      <c r="T25" s="22">
        <f>SUM(OSRRefT22x_0)</f>
        <v>802253.96461048978</v>
      </c>
      <c r="U25" s="22"/>
      <c r="V25" s="34">
        <f t="shared" ref="V25:V36" si="17">IF(T$12=0,0,T25/T$12)</f>
        <v>0.57882681429328264</v>
      </c>
      <c r="W25" s="4"/>
      <c r="X25" s="22">
        <f t="shared" ref="X25:X36" si="18">+P25-T25</f>
        <v>-71211.094610489556</v>
      </c>
      <c r="Y25" s="4"/>
      <c r="Z25" s="34">
        <f t="shared" ref="Z25:Z36" si="19">IF(T25=0,0,X25/T25)</f>
        <v>-8.876378023892216E-2</v>
      </c>
    </row>
    <row r="26" spans="1:26" s="28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37651.439999999995</v>
      </c>
      <c r="E26" s="1"/>
      <c r="F26" s="5">
        <f t="shared" si="12"/>
        <v>4.7065464281922667E-2</v>
      </c>
      <c r="G26" s="1"/>
      <c r="H26" s="1">
        <f>SUM(OSRRefH22_0x_0)</f>
        <v>48233.868325563431</v>
      </c>
      <c r="I26" s="1"/>
      <c r="J26" s="5">
        <f t="shared" si="13"/>
        <v>6.9601541595329622E-2</v>
      </c>
      <c r="K26" s="1"/>
      <c r="L26" s="1">
        <f t="shared" si="14"/>
        <v>-10582.428325563436</v>
      </c>
      <c r="M26" s="1"/>
      <c r="N26" s="5">
        <f t="shared" si="15"/>
        <v>-0.21939829196645344</v>
      </c>
      <c r="O26" s="14"/>
      <c r="P26" s="1">
        <f>SUM(OSRRefP22_0x_0)</f>
        <v>126081.63999999998</v>
      </c>
      <c r="Q26" s="1"/>
      <c r="R26" s="5">
        <f t="shared" si="16"/>
        <v>7.2452858587249008E-2</v>
      </c>
      <c r="S26" s="1"/>
      <c r="T26" s="1">
        <f>SUM(OSRRefT22_0x_0)</f>
        <v>168330.80697202834</v>
      </c>
      <c r="U26" s="1"/>
      <c r="V26" s="5">
        <f t="shared" si="17"/>
        <v>0.12145079868111713</v>
      </c>
      <c r="W26" s="1"/>
      <c r="X26" s="1">
        <f t="shared" si="18"/>
        <v>-42249.166972028353</v>
      </c>
      <c r="Y26" s="1"/>
      <c r="Z26" s="5">
        <f t="shared" si="19"/>
        <v>-0.25098891719237659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7">
        <v>7863.4</v>
      </c>
      <c r="E27" s="2"/>
      <c r="F27" s="6">
        <f t="shared" si="12"/>
        <v>9.8294931570869735E-3</v>
      </c>
      <c r="G27" s="2"/>
      <c r="H27" s="7">
        <v>4391.0983236403799</v>
      </c>
      <c r="I27" s="2"/>
      <c r="J27" s="6">
        <f t="shared" si="13"/>
        <v>6.3363612173742857E-3</v>
      </c>
      <c r="K27" s="2"/>
      <c r="L27" s="7">
        <f t="shared" si="14"/>
        <v>3472.3016763596197</v>
      </c>
      <c r="M27" s="2"/>
      <c r="N27" s="6">
        <f t="shared" si="15"/>
        <v>0.79075926350037995</v>
      </c>
      <c r="O27" s="11"/>
      <c r="P27" s="7">
        <v>20608.810000000001</v>
      </c>
      <c r="Q27" s="2"/>
      <c r="R27" s="6">
        <f t="shared" si="16"/>
        <v>1.184285988492443E-2</v>
      </c>
      <c r="S27" s="2"/>
      <c r="T27" s="7">
        <v>18195.689965105401</v>
      </c>
      <c r="U27" s="2"/>
      <c r="V27" s="6">
        <f t="shared" si="17"/>
        <v>1.3128203438026984E-2</v>
      </c>
      <c r="W27" s="2"/>
      <c r="X27" s="7">
        <f t="shared" si="18"/>
        <v>2413.1200348946004</v>
      </c>
      <c r="Y27" s="2"/>
      <c r="Z27" s="6">
        <f t="shared" si="19"/>
        <v>0.13262041942472844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4805.13</v>
      </c>
      <c r="E28" s="2"/>
      <c r="F28" s="6">
        <f t="shared" si="12"/>
        <v>6.0065610873048974E-3</v>
      </c>
      <c r="G28" s="2"/>
      <c r="H28" s="7">
        <v>6117.43813267308</v>
      </c>
      <c r="I28" s="2"/>
      <c r="J28" s="6">
        <f t="shared" si="13"/>
        <v>8.8274720529193072E-3</v>
      </c>
      <c r="K28" s="2"/>
      <c r="L28" s="7">
        <f t="shared" si="14"/>
        <v>-1312.3081326730799</v>
      </c>
      <c r="M28" s="2"/>
      <c r="N28" s="6">
        <f t="shared" si="15"/>
        <v>-0.21451923243229479</v>
      </c>
      <c r="O28" s="11"/>
      <c r="P28" s="7">
        <v>11575.67</v>
      </c>
      <c r="Q28" s="2"/>
      <c r="R28" s="6">
        <f t="shared" si="16"/>
        <v>6.6519628199844224E-3</v>
      </c>
      <c r="S28" s="2"/>
      <c r="T28" s="7">
        <v>16490.6469276231</v>
      </c>
      <c r="U28" s="2"/>
      <c r="V28" s="6">
        <f t="shared" si="17"/>
        <v>1.1898013656293723E-2</v>
      </c>
      <c r="W28" s="2"/>
      <c r="X28" s="7">
        <f t="shared" si="18"/>
        <v>-4914.9769276231</v>
      </c>
      <c r="Y28" s="2"/>
      <c r="Z28" s="6">
        <f t="shared" si="19"/>
        <v>-0.2980463379753851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7">
        <v>14552.35</v>
      </c>
      <c r="E29" s="2"/>
      <c r="F29" s="6">
        <f t="shared" si="12"/>
        <v>1.819088749707946E-2</v>
      </c>
      <c r="G29" s="2"/>
      <c r="H29" s="7">
        <v>25460.461538461499</v>
      </c>
      <c r="I29" s="2"/>
      <c r="J29" s="6">
        <f t="shared" si="13"/>
        <v>3.673948273948268E-2</v>
      </c>
      <c r="K29" s="2"/>
      <c r="L29" s="7">
        <f t="shared" si="14"/>
        <v>-10908.111538461499</v>
      </c>
      <c r="M29" s="2"/>
      <c r="N29" s="6">
        <f t="shared" si="15"/>
        <v>-0.42843337784679625</v>
      </c>
      <c r="O29" s="11"/>
      <c r="P29" s="7">
        <v>62049.02</v>
      </c>
      <c r="Q29" s="2"/>
      <c r="R29" s="6">
        <f t="shared" si="16"/>
        <v>3.5656491076237473E-2</v>
      </c>
      <c r="S29" s="2"/>
      <c r="T29" s="7">
        <v>93266.461538461401</v>
      </c>
      <c r="U29" s="2"/>
      <c r="V29" s="6">
        <f t="shared" si="17"/>
        <v>6.7291819291819197E-2</v>
      </c>
      <c r="W29" s="2"/>
      <c r="X29" s="7">
        <f t="shared" si="18"/>
        <v>-31217.441538461404</v>
      </c>
      <c r="Y29" s="2"/>
      <c r="Z29" s="6">
        <f t="shared" si="19"/>
        <v>-0.3347124038321953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347.02</v>
      </c>
      <c r="E30" s="2"/>
      <c r="F30" s="6">
        <f t="shared" si="12"/>
        <v>4.3378573077451502E-4</v>
      </c>
      <c r="G30" s="2"/>
      <c r="H30" s="7">
        <v>338.96095194230799</v>
      </c>
      <c r="I30" s="2"/>
      <c r="J30" s="6">
        <f t="shared" si="13"/>
        <v>4.8912114277389321E-4</v>
      </c>
      <c r="K30" s="2"/>
      <c r="L30" s="7">
        <f t="shared" si="14"/>
        <v>8.0590480576919958</v>
      </c>
      <c r="M30" s="2"/>
      <c r="N30" s="6">
        <f t="shared" si="15"/>
        <v>2.3775741752883873E-2</v>
      </c>
      <c r="O30" s="11"/>
      <c r="P30" s="7">
        <v>836.01</v>
      </c>
      <c r="Q30" s="2"/>
      <c r="R30" s="6">
        <f t="shared" si="16"/>
        <v>4.8041343932015833E-4</v>
      </c>
      <c r="S30" s="2"/>
      <c r="T30" s="7">
        <v>913.72977699230796</v>
      </c>
      <c r="U30" s="2"/>
      <c r="V30" s="6">
        <f t="shared" si="17"/>
        <v>6.5925669335664358E-4</v>
      </c>
      <c r="W30" s="2"/>
      <c r="X30" s="7">
        <f t="shared" si="18"/>
        <v>-77.71977699230797</v>
      </c>
      <c r="Y30" s="2"/>
      <c r="Z30" s="6">
        <f t="shared" si="19"/>
        <v>-8.5057725981236398E-2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7">
        <v>2151.75</v>
      </c>
      <c r="E31" s="2"/>
      <c r="F31" s="6">
        <f t="shared" si="12"/>
        <v>2.6897540377905098E-3</v>
      </c>
      <c r="G31" s="2"/>
      <c r="H31" s="7">
        <v>1758.3385519230801</v>
      </c>
      <c r="I31" s="2"/>
      <c r="J31" s="6">
        <f t="shared" si="13"/>
        <v>2.5372850677100722E-3</v>
      </c>
      <c r="K31" s="2"/>
      <c r="L31" s="7">
        <f t="shared" si="14"/>
        <v>393.4114480769199</v>
      </c>
      <c r="M31" s="2"/>
      <c r="N31" s="6">
        <f t="shared" si="15"/>
        <v>0.22374044386767789</v>
      </c>
      <c r="O31" s="11"/>
      <c r="P31" s="7">
        <v>6455.25</v>
      </c>
      <c r="Q31" s="2"/>
      <c r="R31" s="6">
        <f t="shared" si="16"/>
        <v>3.7095116735104271E-3</v>
      </c>
      <c r="S31" s="2"/>
      <c r="T31" s="7">
        <v>6330.0187869230804</v>
      </c>
      <c r="U31" s="2"/>
      <c r="V31" s="6">
        <f t="shared" si="17"/>
        <v>4.5671131218781242E-3</v>
      </c>
      <c r="W31" s="2"/>
      <c r="X31" s="7">
        <f t="shared" si="18"/>
        <v>125.23121307691963</v>
      </c>
      <c r="Y31" s="2"/>
      <c r="Z31" s="6">
        <f t="shared" si="19"/>
        <v>1.9783703223066183E-2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7">
        <v>461.01</v>
      </c>
      <c r="E33" s="2"/>
      <c r="F33" s="6">
        <f t="shared" si="12"/>
        <v>5.7627675564624287E-4</v>
      </c>
      <c r="G33" s="2"/>
      <c r="H33" s="7"/>
      <c r="I33" s="2"/>
      <c r="J33" s="6">
        <f t="shared" si="13"/>
        <v>0</v>
      </c>
      <c r="K33" s="2"/>
      <c r="L33" s="7">
        <f t="shared" si="14"/>
        <v>461.01</v>
      </c>
      <c r="M33" s="2"/>
      <c r="N33" s="6">
        <f t="shared" si="15"/>
        <v>0</v>
      </c>
      <c r="O33" s="11"/>
      <c r="P33" s="7">
        <v>1892.18</v>
      </c>
      <c r="Q33" s="2"/>
      <c r="R33" s="6">
        <f t="shared" si="16"/>
        <v>1.0873418997533729E-3</v>
      </c>
      <c r="S33" s="2"/>
      <c r="T33" s="7"/>
      <c r="U33" s="2"/>
      <c r="V33" s="6">
        <f t="shared" si="17"/>
        <v>0</v>
      </c>
      <c r="W33" s="2"/>
      <c r="X33" s="7">
        <f t="shared" si="18"/>
        <v>1892.18</v>
      </c>
      <c r="Y33" s="2"/>
      <c r="Z33" s="6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7">
        <v>3436.63</v>
      </c>
      <c r="E34" s="2"/>
      <c r="F34" s="6">
        <f t="shared" si="12"/>
        <v>4.2958937696721275E-3</v>
      </c>
      <c r="G34" s="2"/>
      <c r="H34" s="7">
        <v>2459.9579134615401</v>
      </c>
      <c r="I34" s="2"/>
      <c r="J34" s="6">
        <f t="shared" si="13"/>
        <v>3.5497228188478211E-3</v>
      </c>
      <c r="K34" s="2"/>
      <c r="L34" s="7">
        <f t="shared" si="14"/>
        <v>976.67208653846001</v>
      </c>
      <c r="M34" s="2"/>
      <c r="N34" s="6">
        <f t="shared" si="15"/>
        <v>0.39702796588260802</v>
      </c>
      <c r="O34" s="11"/>
      <c r="P34" s="7">
        <v>10905.74</v>
      </c>
      <c r="Q34" s="2"/>
      <c r="R34" s="6">
        <f t="shared" si="16"/>
        <v>6.2669873108353053E-3</v>
      </c>
      <c r="S34" s="2"/>
      <c r="T34" s="7">
        <v>8855.8484884615391</v>
      </c>
      <c r="U34" s="2"/>
      <c r="V34" s="6">
        <f t="shared" si="17"/>
        <v>6.3895010739260742E-3</v>
      </c>
      <c r="W34" s="2"/>
      <c r="X34" s="7">
        <f t="shared" si="18"/>
        <v>2049.8915115384607</v>
      </c>
      <c r="Y34" s="2"/>
      <c r="Z34" s="6">
        <f t="shared" si="19"/>
        <v>0.23147319132766386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7">
        <v>2337.33</v>
      </c>
      <c r="E35" s="2"/>
      <c r="F35" s="6">
        <f t="shared" si="12"/>
        <v>2.9217347764140316E-3</v>
      </c>
      <c r="G35" s="2"/>
      <c r="H35" s="7">
        <v>5432.6129134615403</v>
      </c>
      <c r="I35" s="2"/>
      <c r="J35" s="6">
        <f t="shared" si="13"/>
        <v>7.8392682733932767E-3</v>
      </c>
      <c r="K35" s="2"/>
      <c r="L35" s="7">
        <f t="shared" si="14"/>
        <v>-3095.2829134615404</v>
      </c>
      <c r="M35" s="2"/>
      <c r="N35" s="6">
        <f t="shared" si="15"/>
        <v>-0.56975951770679256</v>
      </c>
      <c r="O35" s="11"/>
      <c r="P35" s="7">
        <v>7496.65</v>
      </c>
      <c r="Q35" s="2"/>
      <c r="R35" s="6">
        <f t="shared" si="16"/>
        <v>4.3079525482703131E-3</v>
      </c>
      <c r="S35" s="2"/>
      <c r="T35" s="7">
        <v>15178.411488461499</v>
      </c>
      <c r="U35" s="2"/>
      <c r="V35" s="6">
        <f t="shared" si="17"/>
        <v>1.0951234840159812E-2</v>
      </c>
      <c r="W35" s="2"/>
      <c r="X35" s="7">
        <f t="shared" si="18"/>
        <v>-7681.7614884614995</v>
      </c>
      <c r="Y35" s="2"/>
      <c r="Z35" s="6">
        <f t="shared" si="19"/>
        <v>-0.50609785446264322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7">
        <v>1696.82</v>
      </c>
      <c r="E36" s="2"/>
      <c r="F36" s="6">
        <f t="shared" si="12"/>
        <v>2.1210774701539178E-3</v>
      </c>
      <c r="G36" s="2"/>
      <c r="H36" s="7">
        <v>2275</v>
      </c>
      <c r="I36" s="2"/>
      <c r="J36" s="6">
        <f t="shared" si="13"/>
        <v>3.2828282828282827E-3</v>
      </c>
      <c r="K36" s="2"/>
      <c r="L36" s="7">
        <f t="shared" si="14"/>
        <v>-578.18000000000006</v>
      </c>
      <c r="M36" s="2"/>
      <c r="N36" s="6">
        <f t="shared" si="15"/>
        <v>-0.25414505494505496</v>
      </c>
      <c r="O36" s="11"/>
      <c r="P36" s="7">
        <v>4262.3100000000004</v>
      </c>
      <c r="Q36" s="2"/>
      <c r="R36" s="6">
        <f t="shared" si="16"/>
        <v>2.44933793441311E-3</v>
      </c>
      <c r="S36" s="2"/>
      <c r="T36" s="7">
        <v>9100</v>
      </c>
      <c r="U36" s="2"/>
      <c r="V36" s="6">
        <f t="shared" si="17"/>
        <v>6.5656565656565654E-3</v>
      </c>
      <c r="W36" s="2"/>
      <c r="X36" s="7">
        <f t="shared" si="18"/>
        <v>-4837.6899999999996</v>
      </c>
      <c r="Y36" s="2"/>
      <c r="Z36" s="6">
        <f t="shared" si="19"/>
        <v>-0.53161428571428571</v>
      </c>
    </row>
    <row r="37" spans="1:26" s="28" customFormat="1" outlineLevel="1" collapsed="1" x14ac:dyDescent="0.25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155091.72</v>
      </c>
      <c r="E37" s="1"/>
      <c r="F37" s="5">
        <f t="shared" ref="F37:F47" si="20">IF(D$12=0,0,D37/D$12)</f>
        <v>0.1938694458454166</v>
      </c>
      <c r="G37" s="1"/>
      <c r="H37" s="1">
        <f>SUM(OSRRefH22_1x_0)</f>
        <v>153517.4062884615</v>
      </c>
      <c r="I37" s="1"/>
      <c r="J37" s="5">
        <f t="shared" ref="J37:J47" si="21">IF(H$12=0,0,H37/H$12)</f>
        <v>0.22152583880008875</v>
      </c>
      <c r="K37" s="1"/>
      <c r="L37" s="1">
        <f t="shared" ref="L37:L47" si="22">+D37-H37</f>
        <v>1574.3137115385034</v>
      </c>
      <c r="M37" s="1"/>
      <c r="N37" s="5">
        <f t="shared" ref="N37:N47" si="23">IF(H37=0,0,L37/H37)</f>
        <v>1.025495251385595E-2</v>
      </c>
      <c r="O37" s="14"/>
      <c r="P37" s="1">
        <f>SUM(OSRRefP22_1x_0)</f>
        <v>354941.34</v>
      </c>
      <c r="Q37" s="1"/>
      <c r="R37" s="5">
        <f t="shared" ref="R37:R47" si="24">IF(P$12=0,0,P37/P$12)</f>
        <v>0.20396716535245477</v>
      </c>
      <c r="S37" s="1"/>
      <c r="T37" s="1">
        <f>SUM(OSRRefT22_1x_0)</f>
        <v>411075.15763846139</v>
      </c>
      <c r="U37" s="1"/>
      <c r="V37" s="5">
        <f t="shared" ref="V37:V47" si="25">IF(T$12=0,0,T37/T$12)</f>
        <v>0.2965910228271727</v>
      </c>
      <c r="W37" s="1"/>
      <c r="X37" s="1">
        <f t="shared" ref="X37:X47" si="26">+P37-T37</f>
        <v>-56133.817638461362</v>
      </c>
      <c r="Y37" s="1"/>
      <c r="Z37" s="5">
        <f t="shared" ref="Z37:Z47" si="27">IF(T37=0,0,X37/T37)</f>
        <v>-0.1365536607975488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7">
        <v>21184.42</v>
      </c>
      <c r="E39" s="2"/>
      <c r="F39" s="6">
        <f t="shared" si="20"/>
        <v>2.6481180078192182E-2</v>
      </c>
      <c r="G39" s="2"/>
      <c r="H39" s="7">
        <v>19219.049288461501</v>
      </c>
      <c r="I39" s="2"/>
      <c r="J39" s="6">
        <f t="shared" si="21"/>
        <v>2.7733115856365804E-2</v>
      </c>
      <c r="K39" s="2"/>
      <c r="L39" s="7">
        <f t="shared" si="22"/>
        <v>1965.3707115384968</v>
      </c>
      <c r="M39" s="2"/>
      <c r="N39" s="6">
        <f t="shared" si="23"/>
        <v>0.10226159900211308</v>
      </c>
      <c r="O39" s="11"/>
      <c r="P39" s="7">
        <v>74408.94</v>
      </c>
      <c r="Q39" s="2"/>
      <c r="R39" s="6">
        <f t="shared" si="24"/>
        <v>4.2759123433412642E-2</v>
      </c>
      <c r="S39" s="2"/>
      <c r="T39" s="7">
        <v>69188.577438461405</v>
      </c>
      <c r="U39" s="2"/>
      <c r="V39" s="6">
        <f t="shared" si="25"/>
        <v>4.9919608541458445E-2</v>
      </c>
      <c r="W39" s="2"/>
      <c r="X39" s="7">
        <f t="shared" si="26"/>
        <v>5220.3625615385972</v>
      </c>
      <c r="Y39" s="2"/>
      <c r="Z39" s="6">
        <f t="shared" si="27"/>
        <v>7.5451219765022046E-2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7">
        <v>50633.87</v>
      </c>
      <c r="E41" s="2"/>
      <c r="F41" s="6">
        <f t="shared" si="20"/>
        <v>6.3293903232931228E-2</v>
      </c>
      <c r="G41" s="2"/>
      <c r="H41" s="7">
        <v>33386.832000000002</v>
      </c>
      <c r="I41" s="2"/>
      <c r="J41" s="6">
        <f t="shared" si="21"/>
        <v>4.8177246753246757E-2</v>
      </c>
      <c r="K41" s="2"/>
      <c r="L41" s="7">
        <f t="shared" si="22"/>
        <v>17247.038</v>
      </c>
      <c r="M41" s="2"/>
      <c r="N41" s="6">
        <f t="shared" si="23"/>
        <v>0.51658204647868355</v>
      </c>
      <c r="O41" s="11"/>
      <c r="P41" s="7">
        <v>120179.68</v>
      </c>
      <c r="Q41" s="2"/>
      <c r="R41" s="6">
        <f t="shared" si="24"/>
        <v>6.9061295206033477E-2</v>
      </c>
      <c r="S41" s="2"/>
      <c r="T41" s="7">
        <v>120192.5952</v>
      </c>
      <c r="U41" s="2"/>
      <c r="V41" s="6">
        <f t="shared" si="25"/>
        <v>8.6719044155844152E-2</v>
      </c>
      <c r="W41" s="2"/>
      <c r="X41" s="7">
        <f t="shared" si="26"/>
        <v>-12.915200000003097</v>
      </c>
      <c r="Y41" s="2"/>
      <c r="Z41" s="6">
        <f t="shared" si="27"/>
        <v>-1.0745420696268564E-4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7">
        <v>50818.2</v>
      </c>
      <c r="E42" s="2"/>
      <c r="F42" s="6">
        <f t="shared" si="20"/>
        <v>6.3524321432901446E-2</v>
      </c>
      <c r="G42" s="2"/>
      <c r="H42" s="7">
        <v>22293.025000000001</v>
      </c>
      <c r="I42" s="2"/>
      <c r="J42" s="6">
        <f t="shared" si="21"/>
        <v>3.2168867243867243E-2</v>
      </c>
      <c r="K42" s="2"/>
      <c r="L42" s="7">
        <f t="shared" si="22"/>
        <v>28525.174999999996</v>
      </c>
      <c r="M42" s="2"/>
      <c r="N42" s="6">
        <f t="shared" si="23"/>
        <v>1.2795560494818443</v>
      </c>
      <c r="O42" s="11"/>
      <c r="P42" s="7">
        <v>81659.990000000005</v>
      </c>
      <c r="Q42" s="2"/>
      <c r="R42" s="6">
        <f t="shared" si="24"/>
        <v>4.6925941855659306E-2</v>
      </c>
      <c r="S42" s="2"/>
      <c r="T42" s="7">
        <v>49916.684999999998</v>
      </c>
      <c r="U42" s="2"/>
      <c r="V42" s="6">
        <f t="shared" si="25"/>
        <v>3.6014924242424244E-2</v>
      </c>
      <c r="W42" s="2"/>
      <c r="X42" s="7">
        <f t="shared" si="26"/>
        <v>31743.305000000008</v>
      </c>
      <c r="Y42" s="2"/>
      <c r="Z42" s="6">
        <f t="shared" si="27"/>
        <v>0.63592574306567051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7">
        <v>26035.39</v>
      </c>
      <c r="E44" s="2"/>
      <c r="F44" s="6">
        <f t="shared" si="20"/>
        <v>3.2545042582990895E-2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26035.39</v>
      </c>
      <c r="M44" s="2"/>
      <c r="N44" s="6">
        <f t="shared" si="23"/>
        <v>0</v>
      </c>
      <c r="O44" s="11"/>
      <c r="P44" s="7">
        <v>68743.210000000006</v>
      </c>
      <c r="Q44" s="2"/>
      <c r="R44" s="6">
        <f t="shared" si="24"/>
        <v>3.9503309704438827E-2</v>
      </c>
      <c r="S44" s="2"/>
      <c r="T44" s="7">
        <v>30264</v>
      </c>
      <c r="U44" s="2"/>
      <c r="V44" s="6">
        <f t="shared" si="25"/>
        <v>2.1835497835497836E-2</v>
      </c>
      <c r="W44" s="2"/>
      <c r="X44" s="7">
        <f t="shared" si="26"/>
        <v>38479.210000000006</v>
      </c>
      <c r="Y44" s="2"/>
      <c r="Z44" s="6">
        <f t="shared" si="27"/>
        <v>1.2714515596087763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>
        <v>6419.84</v>
      </c>
      <c r="E45" s="2"/>
      <c r="F45" s="6">
        <f t="shared" si="20"/>
        <v>8.0249985184008502E-3</v>
      </c>
      <c r="G45" s="2"/>
      <c r="H45" s="7">
        <v>78618.5</v>
      </c>
      <c r="I45" s="2"/>
      <c r="J45" s="6">
        <f t="shared" si="21"/>
        <v>0.11344660894660895</v>
      </c>
      <c r="K45" s="2"/>
      <c r="L45" s="7">
        <f t="shared" si="22"/>
        <v>-72198.66</v>
      </c>
      <c r="M45" s="2"/>
      <c r="N45" s="6">
        <f t="shared" si="23"/>
        <v>-0.91834186610021817</v>
      </c>
      <c r="O45" s="11"/>
      <c r="P45" s="7">
        <v>9949.52</v>
      </c>
      <c r="Q45" s="2"/>
      <c r="R45" s="6">
        <f t="shared" si="24"/>
        <v>5.7174951529104937E-3</v>
      </c>
      <c r="S45" s="2"/>
      <c r="T45" s="7">
        <v>141513.29999999999</v>
      </c>
      <c r="U45" s="2"/>
      <c r="V45" s="6">
        <f t="shared" si="25"/>
        <v>0.10210194805194804</v>
      </c>
      <c r="W45" s="2"/>
      <c r="X45" s="7">
        <f t="shared" si="26"/>
        <v>-131563.78</v>
      </c>
      <c r="Y45" s="2"/>
      <c r="Z45" s="6">
        <f t="shared" si="27"/>
        <v>-0.92969197948178728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25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68" si="28">IF(D$12=0,0,D48/D$12)</f>
        <v>0</v>
      </c>
      <c r="G48" s="1"/>
      <c r="H48" s="1">
        <f>SUM(OSRRefH22_2x_0)</f>
        <v>369</v>
      </c>
      <c r="I48" s="1"/>
      <c r="J48" s="5">
        <f t="shared" ref="J48:J68" si="29">IF(H$12=0,0,H48/H$12)</f>
        <v>5.3246753246753242E-4</v>
      </c>
      <c r="K48" s="1"/>
      <c r="L48" s="1">
        <f t="shared" ref="L48:L68" si="30">+D48-H48</f>
        <v>-369</v>
      </c>
      <c r="M48" s="1"/>
      <c r="N48" s="5">
        <f t="shared" ref="N48:N68" si="31">IF(H48=0,0,L48/H48)</f>
        <v>-1</v>
      </c>
      <c r="O48" s="14"/>
      <c r="P48" s="1">
        <f>SUM(OSRRefP22_2x_0)</f>
        <v>955.26</v>
      </c>
      <c r="Q48" s="1"/>
      <c r="R48" s="5">
        <f t="shared" ref="R48:R68" si="32">IF(P$12=0,0,P48/P$12)</f>
        <v>5.4894049358856286E-4</v>
      </c>
      <c r="S48" s="1"/>
      <c r="T48" s="1">
        <f>SUM(OSRRefT22_2x_0)</f>
        <v>1476</v>
      </c>
      <c r="U48" s="1"/>
      <c r="V48" s="5">
        <f t="shared" ref="V48:V68" si="33">IF(T$12=0,0,T48/T$12)</f>
        <v>1.0649350649350648E-3</v>
      </c>
      <c r="W48" s="1"/>
      <c r="X48" s="1">
        <f t="shared" ref="X48:X68" si="34">+P48-T48</f>
        <v>-520.74</v>
      </c>
      <c r="Y48" s="1"/>
      <c r="Z48" s="5">
        <f t="shared" ref="Z48:Z68" si="35">IF(T48=0,0,X48/T48)</f>
        <v>-0.35280487804878047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8"/>
        <v>0</v>
      </c>
      <c r="G49" s="2"/>
      <c r="H49" s="7">
        <v>369</v>
      </c>
      <c r="I49" s="2"/>
      <c r="J49" s="6">
        <f t="shared" si="29"/>
        <v>5.3246753246753242E-4</v>
      </c>
      <c r="K49" s="2"/>
      <c r="L49" s="7">
        <f t="shared" si="30"/>
        <v>-369</v>
      </c>
      <c r="M49" s="2"/>
      <c r="N49" s="6">
        <f t="shared" si="31"/>
        <v>-1</v>
      </c>
      <c r="O49" s="11"/>
      <c r="P49" s="7">
        <v>955.26</v>
      </c>
      <c r="Q49" s="2"/>
      <c r="R49" s="6">
        <f t="shared" si="32"/>
        <v>5.4894049358856286E-4</v>
      </c>
      <c r="S49" s="2"/>
      <c r="T49" s="7">
        <v>1476</v>
      </c>
      <c r="U49" s="2"/>
      <c r="V49" s="6">
        <f t="shared" si="33"/>
        <v>1.0649350649350648E-3</v>
      </c>
      <c r="W49" s="2"/>
      <c r="X49" s="7">
        <f t="shared" si="34"/>
        <v>-520.74</v>
      </c>
      <c r="Y49" s="2"/>
      <c r="Z49" s="6">
        <f t="shared" si="35"/>
        <v>-0.35280487804878047</v>
      </c>
    </row>
    <row r="50" spans="1:26" s="28" customFormat="1" outlineLevel="1" collapsed="1" x14ac:dyDescent="0.25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8</v>
      </c>
      <c r="I50" s="1"/>
      <c r="J50" s="5">
        <f t="shared" si="29"/>
        <v>1.1544011544011544E-5</v>
      </c>
      <c r="K50" s="1"/>
      <c r="L50" s="1">
        <f t="shared" si="30"/>
        <v>-8</v>
      </c>
      <c r="M50" s="1"/>
      <c r="N50" s="5">
        <f t="shared" si="31"/>
        <v>-1</v>
      </c>
      <c r="O50" s="14"/>
      <c r="P50" s="1">
        <f>SUM(OSRRefP22_3x_0)</f>
        <v>0</v>
      </c>
      <c r="Q50" s="1"/>
      <c r="R50" s="5">
        <f t="shared" si="32"/>
        <v>0</v>
      </c>
      <c r="S50" s="1"/>
      <c r="T50" s="1">
        <f>SUM(OSRRefT22_3x_0)</f>
        <v>24</v>
      </c>
      <c r="U50" s="1"/>
      <c r="V50" s="5">
        <f t="shared" si="33"/>
        <v>1.7316017316017315E-5</v>
      </c>
      <c r="W50" s="1"/>
      <c r="X50" s="1">
        <f t="shared" si="34"/>
        <v>-24</v>
      </c>
      <c r="Y50" s="1"/>
      <c r="Z50" s="5">
        <f t="shared" si="35"/>
        <v>-1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8"/>
        <v>0</v>
      </c>
      <c r="G51" s="2"/>
      <c r="H51" s="7">
        <v>8</v>
      </c>
      <c r="I51" s="2"/>
      <c r="J51" s="6">
        <f t="shared" si="29"/>
        <v>1.1544011544011544E-5</v>
      </c>
      <c r="K51" s="2"/>
      <c r="L51" s="7">
        <f t="shared" si="30"/>
        <v>-8</v>
      </c>
      <c r="M51" s="2"/>
      <c r="N51" s="6">
        <f t="shared" si="31"/>
        <v>-1</v>
      </c>
      <c r="O51" s="11"/>
      <c r="P51" s="7"/>
      <c r="Q51" s="2"/>
      <c r="R51" s="6">
        <f t="shared" si="32"/>
        <v>0</v>
      </c>
      <c r="S51" s="2"/>
      <c r="T51" s="7">
        <v>24</v>
      </c>
      <c r="U51" s="2"/>
      <c r="V51" s="6">
        <f t="shared" si="33"/>
        <v>1.7316017316017315E-5</v>
      </c>
      <c r="W51" s="2"/>
      <c r="X51" s="7">
        <f t="shared" si="34"/>
        <v>-24</v>
      </c>
      <c r="Y51" s="2"/>
      <c r="Z51" s="6">
        <f t="shared" si="35"/>
        <v>-1</v>
      </c>
    </row>
    <row r="52" spans="1:26" s="28" customFormat="1" outlineLevel="1" collapsed="1" x14ac:dyDescent="0.25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51.38</v>
      </c>
      <c r="E52" s="1"/>
      <c r="F52" s="5">
        <f t="shared" si="28"/>
        <v>6.4226588805240572E-5</v>
      </c>
      <c r="G52" s="1"/>
      <c r="H52" s="1">
        <f>SUM(OSRRefH22_4x_0)</f>
        <v>135</v>
      </c>
      <c r="I52" s="1"/>
      <c r="J52" s="5">
        <f t="shared" si="29"/>
        <v>1.9480519480519481E-4</v>
      </c>
      <c r="K52" s="1"/>
      <c r="L52" s="1">
        <f t="shared" si="30"/>
        <v>-83.62</v>
      </c>
      <c r="M52" s="1"/>
      <c r="N52" s="5">
        <f t="shared" si="31"/>
        <v>-0.61940740740740741</v>
      </c>
      <c r="O52" s="14"/>
      <c r="P52" s="1">
        <f>SUM(OSRRefP22_4x_0)</f>
        <v>223.14</v>
      </c>
      <c r="Q52" s="1"/>
      <c r="R52" s="5">
        <f t="shared" si="32"/>
        <v>1.2822747915682841E-4</v>
      </c>
      <c r="S52" s="1"/>
      <c r="T52" s="1">
        <f>SUM(OSRRefT22_4x_0)</f>
        <v>540</v>
      </c>
      <c r="U52" s="1"/>
      <c r="V52" s="5">
        <f t="shared" si="33"/>
        <v>3.8961038961038961E-4</v>
      </c>
      <c r="W52" s="1"/>
      <c r="X52" s="1">
        <f t="shared" si="34"/>
        <v>-316.86</v>
      </c>
      <c r="Y52" s="1"/>
      <c r="Z52" s="5">
        <f t="shared" si="35"/>
        <v>-0.58677777777777784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7">
        <v>51.38</v>
      </c>
      <c r="E53" s="2"/>
      <c r="F53" s="6">
        <f t="shared" si="28"/>
        <v>6.4226588805240572E-5</v>
      </c>
      <c r="G53" s="2"/>
      <c r="H53" s="7">
        <v>135</v>
      </c>
      <c r="I53" s="2"/>
      <c r="J53" s="6">
        <f t="shared" si="29"/>
        <v>1.9480519480519481E-4</v>
      </c>
      <c r="K53" s="2"/>
      <c r="L53" s="7">
        <f t="shared" si="30"/>
        <v>-83.62</v>
      </c>
      <c r="M53" s="2"/>
      <c r="N53" s="6">
        <f t="shared" si="31"/>
        <v>-0.61940740740740741</v>
      </c>
      <c r="O53" s="11"/>
      <c r="P53" s="7">
        <v>223.14</v>
      </c>
      <c r="Q53" s="2"/>
      <c r="R53" s="6">
        <f t="shared" si="32"/>
        <v>1.2822747915682841E-4</v>
      </c>
      <c r="S53" s="2"/>
      <c r="T53" s="7">
        <v>540</v>
      </c>
      <c r="U53" s="2"/>
      <c r="V53" s="6">
        <f t="shared" si="33"/>
        <v>3.8961038961038961E-4</v>
      </c>
      <c r="W53" s="2"/>
      <c r="X53" s="7">
        <f t="shared" si="34"/>
        <v>-316.86</v>
      </c>
      <c r="Y53" s="2"/>
      <c r="Z53" s="6">
        <f t="shared" si="35"/>
        <v>-0.58677777777777784</v>
      </c>
    </row>
    <row r="54" spans="1:26" s="28" customFormat="1" outlineLevel="1" collapsed="1" x14ac:dyDescent="0.25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273.51</v>
      </c>
      <c r="E54" s="1"/>
      <c r="F54" s="5">
        <f t="shared" si="28"/>
        <v>3.418959576512524E-4</v>
      </c>
      <c r="G54" s="1"/>
      <c r="H54" s="1">
        <f>SUM(OSRRefH22_5x_0)</f>
        <v>273</v>
      </c>
      <c r="I54" s="1"/>
      <c r="J54" s="5">
        <f t="shared" si="29"/>
        <v>3.9393939393939396E-4</v>
      </c>
      <c r="K54" s="1"/>
      <c r="L54" s="1">
        <f t="shared" si="30"/>
        <v>0.50999999999999091</v>
      </c>
      <c r="M54" s="1"/>
      <c r="N54" s="5">
        <f t="shared" si="31"/>
        <v>1.8681318681318347E-3</v>
      </c>
      <c r="O54" s="14"/>
      <c r="P54" s="1">
        <f>SUM(OSRRefP22_5x_0)</f>
        <v>1094.04</v>
      </c>
      <c r="Q54" s="1"/>
      <c r="R54" s="5">
        <f t="shared" si="32"/>
        <v>6.286904691975287E-4</v>
      </c>
      <c r="S54" s="1"/>
      <c r="T54" s="1">
        <f>SUM(OSRRefT22_5x_0)</f>
        <v>1092</v>
      </c>
      <c r="U54" s="1"/>
      <c r="V54" s="5">
        <f t="shared" si="33"/>
        <v>7.8787878787878792E-4</v>
      </c>
      <c r="W54" s="1"/>
      <c r="X54" s="1">
        <f t="shared" si="34"/>
        <v>2.0399999999999636</v>
      </c>
      <c r="Y54" s="1"/>
      <c r="Z54" s="5">
        <f t="shared" si="35"/>
        <v>1.8681318681318347E-3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273.51</v>
      </c>
      <c r="E55" s="2"/>
      <c r="F55" s="6">
        <f t="shared" si="28"/>
        <v>3.418959576512524E-4</v>
      </c>
      <c r="G55" s="2"/>
      <c r="H55" s="7">
        <v>273</v>
      </c>
      <c r="I55" s="2"/>
      <c r="J55" s="6">
        <f t="shared" si="29"/>
        <v>3.9393939393939396E-4</v>
      </c>
      <c r="K55" s="2"/>
      <c r="L55" s="7">
        <f t="shared" si="30"/>
        <v>0.50999999999999091</v>
      </c>
      <c r="M55" s="2"/>
      <c r="N55" s="6">
        <f t="shared" si="31"/>
        <v>1.8681318681318347E-3</v>
      </c>
      <c r="O55" s="11"/>
      <c r="P55" s="7">
        <v>1094.04</v>
      </c>
      <c r="Q55" s="2"/>
      <c r="R55" s="6">
        <f t="shared" si="32"/>
        <v>6.286904691975287E-4</v>
      </c>
      <c r="S55" s="2"/>
      <c r="T55" s="7">
        <v>1092</v>
      </c>
      <c r="U55" s="2"/>
      <c r="V55" s="6">
        <f t="shared" si="33"/>
        <v>7.8787878787878792E-4</v>
      </c>
      <c r="W55" s="2"/>
      <c r="X55" s="7">
        <f t="shared" si="34"/>
        <v>2.0399999999999636</v>
      </c>
      <c r="Y55" s="2"/>
      <c r="Z55" s="6">
        <f t="shared" si="35"/>
        <v>1.8681318681318347E-3</v>
      </c>
    </row>
    <row r="56" spans="1:26" s="28" customFormat="1" outlineLevel="1" collapsed="1" x14ac:dyDescent="0.25">
      <c r="A56" s="29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3477.05</v>
      </c>
      <c r="E56" s="1"/>
      <c r="F56" s="5">
        <f t="shared" si="28"/>
        <v>4.3464200195652341E-3</v>
      </c>
      <c r="G56" s="1"/>
      <c r="H56" s="1">
        <f>SUM(OSRRefH22_6x_0)</f>
        <v>6500</v>
      </c>
      <c r="I56" s="1"/>
      <c r="J56" s="5">
        <f t="shared" si="29"/>
        <v>9.3795093795093799E-3</v>
      </c>
      <c r="K56" s="1"/>
      <c r="L56" s="1">
        <f t="shared" si="30"/>
        <v>-3022.95</v>
      </c>
      <c r="M56" s="1"/>
      <c r="N56" s="5">
        <f t="shared" si="31"/>
        <v>-0.46506923076923073</v>
      </c>
      <c r="O56" s="14"/>
      <c r="P56" s="1">
        <f>SUM(OSRRefP22_6x_0)</f>
        <v>7881.32</v>
      </c>
      <c r="Q56" s="1"/>
      <c r="R56" s="5">
        <f t="shared" si="32"/>
        <v>4.5290032985045034E-3</v>
      </c>
      <c r="S56" s="1"/>
      <c r="T56" s="1">
        <f>SUM(OSRRefT22_6x_0)</f>
        <v>19500</v>
      </c>
      <c r="U56" s="1"/>
      <c r="V56" s="5">
        <f t="shared" si="33"/>
        <v>1.406926406926407E-2</v>
      </c>
      <c r="W56" s="1"/>
      <c r="X56" s="1">
        <f t="shared" si="34"/>
        <v>-11618.68</v>
      </c>
      <c r="Y56" s="1"/>
      <c r="Z56" s="5">
        <f t="shared" si="35"/>
        <v>-0.59582974358974361</v>
      </c>
    </row>
    <row r="57" spans="1:26" s="24" customFormat="1" hidden="1" outlineLevel="2" x14ac:dyDescent="0.25">
      <c r="A57" s="27"/>
      <c r="B57" s="11" t="str">
        <f>CONCATENATE("          ", "6399", " - ", "DONATION-ON CAMPUS")</f>
        <v xml:space="preserve">          6399 - DONATION-ON CAMPUS</v>
      </c>
      <c r="C57" s="11"/>
      <c r="D57" s="7">
        <v>3477.05</v>
      </c>
      <c r="E57" s="2"/>
      <c r="F57" s="6">
        <f t="shared" si="28"/>
        <v>4.3464200195652341E-3</v>
      </c>
      <c r="G57" s="2"/>
      <c r="H57" s="7">
        <v>6500</v>
      </c>
      <c r="I57" s="2"/>
      <c r="J57" s="6">
        <f t="shared" si="29"/>
        <v>9.3795093795093799E-3</v>
      </c>
      <c r="K57" s="2"/>
      <c r="L57" s="7">
        <f t="shared" si="30"/>
        <v>-3022.95</v>
      </c>
      <c r="M57" s="2"/>
      <c r="N57" s="6">
        <f t="shared" si="31"/>
        <v>-0.46506923076923073</v>
      </c>
      <c r="O57" s="11"/>
      <c r="P57" s="7">
        <v>7881.32</v>
      </c>
      <c r="Q57" s="2"/>
      <c r="R57" s="6">
        <f t="shared" si="32"/>
        <v>4.5290032985045034E-3</v>
      </c>
      <c r="S57" s="2"/>
      <c r="T57" s="7">
        <v>19500</v>
      </c>
      <c r="U57" s="2"/>
      <c r="V57" s="6">
        <f t="shared" si="33"/>
        <v>1.406926406926407E-2</v>
      </c>
      <c r="W57" s="2"/>
      <c r="X57" s="7">
        <f t="shared" si="34"/>
        <v>-11618.68</v>
      </c>
      <c r="Y57" s="2"/>
      <c r="Z57" s="6">
        <f t="shared" si="35"/>
        <v>-0.59582974358974361</v>
      </c>
    </row>
    <row r="58" spans="1:26" s="28" customFormat="1" outlineLevel="1" collapsed="1" x14ac:dyDescent="0.25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150</v>
      </c>
      <c r="I58" s="1"/>
      <c r="J58" s="5">
        <f t="shared" si="29"/>
        <v>2.1645021645021645E-4</v>
      </c>
      <c r="K58" s="1"/>
      <c r="L58" s="1">
        <f t="shared" si="30"/>
        <v>-150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600</v>
      </c>
      <c r="U58" s="1"/>
      <c r="V58" s="5">
        <f t="shared" si="33"/>
        <v>4.329004329004329E-4</v>
      </c>
      <c r="W58" s="1"/>
      <c r="X58" s="1">
        <f t="shared" si="34"/>
        <v>-600</v>
      </c>
      <c r="Y58" s="1"/>
      <c r="Z58" s="5">
        <f t="shared" si="35"/>
        <v>-1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150</v>
      </c>
      <c r="I59" s="2"/>
      <c r="J59" s="6">
        <f t="shared" si="29"/>
        <v>2.1645021645021645E-4</v>
      </c>
      <c r="K59" s="2"/>
      <c r="L59" s="7">
        <f t="shared" si="30"/>
        <v>-150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600</v>
      </c>
      <c r="U59" s="2"/>
      <c r="V59" s="6">
        <f t="shared" si="33"/>
        <v>4.329004329004329E-4</v>
      </c>
      <c r="W59" s="2"/>
      <c r="X59" s="7">
        <f t="shared" si="34"/>
        <v>-600</v>
      </c>
      <c r="Y59" s="2"/>
      <c r="Z59" s="6">
        <f t="shared" si="35"/>
        <v>-1</v>
      </c>
    </row>
    <row r="60" spans="1:26" s="28" customFormat="1" outlineLevel="1" collapsed="1" x14ac:dyDescent="0.25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461.73</v>
      </c>
      <c r="E60" s="1"/>
      <c r="F60" s="5">
        <f t="shared" si="28"/>
        <v>5.7717677791054359E-4</v>
      </c>
      <c r="G60" s="1"/>
      <c r="H60" s="1">
        <f>SUM(OSRRefH22_8x_0)</f>
        <v>295</v>
      </c>
      <c r="I60" s="1"/>
      <c r="J60" s="5">
        <f t="shared" si="29"/>
        <v>4.2568542568542569E-4</v>
      </c>
      <c r="K60" s="1"/>
      <c r="L60" s="1">
        <f t="shared" si="30"/>
        <v>166.73000000000002</v>
      </c>
      <c r="M60" s="1"/>
      <c r="N60" s="5">
        <f t="shared" si="31"/>
        <v>0.5651864406779662</v>
      </c>
      <c r="O60" s="14"/>
      <c r="P60" s="1">
        <f>SUM(OSRRefP22_8x_0)</f>
        <v>1289.45</v>
      </c>
      <c r="Q60" s="1"/>
      <c r="R60" s="5">
        <f t="shared" si="32"/>
        <v>7.4098289414167081E-4</v>
      </c>
      <c r="S60" s="1"/>
      <c r="T60" s="1">
        <f>SUM(OSRRefT22_8x_0)</f>
        <v>1180</v>
      </c>
      <c r="U60" s="1"/>
      <c r="V60" s="5">
        <f t="shared" si="33"/>
        <v>8.5137085137085137E-4</v>
      </c>
      <c r="W60" s="1"/>
      <c r="X60" s="1">
        <f t="shared" si="34"/>
        <v>109.45000000000005</v>
      </c>
      <c r="Y60" s="1"/>
      <c r="Z60" s="5">
        <f t="shared" si="35"/>
        <v>9.275423728813563E-2</v>
      </c>
    </row>
    <row r="61" spans="1:26" s="24" customFormat="1" hidden="1" outlineLevel="2" x14ac:dyDescent="0.25">
      <c r="A61" s="27"/>
      <c r="B61" s="11" t="str">
        <f>CONCATENATE("          ", "6351", " - ", "EQUIPMENT RENTAL")</f>
        <v xml:space="preserve">          6351 - EQUIPMENT RENTAL</v>
      </c>
      <c r="C61" s="11"/>
      <c r="D61" s="7">
        <v>461.73</v>
      </c>
      <c r="E61" s="2"/>
      <c r="F61" s="6">
        <f t="shared" si="28"/>
        <v>5.7717677791054359E-4</v>
      </c>
      <c r="G61" s="2"/>
      <c r="H61" s="7">
        <v>295</v>
      </c>
      <c r="I61" s="2"/>
      <c r="J61" s="6">
        <f t="shared" si="29"/>
        <v>4.2568542568542569E-4</v>
      </c>
      <c r="K61" s="2"/>
      <c r="L61" s="7">
        <f t="shared" si="30"/>
        <v>166.73000000000002</v>
      </c>
      <c r="M61" s="2"/>
      <c r="N61" s="6">
        <f t="shared" si="31"/>
        <v>0.5651864406779662</v>
      </c>
      <c r="O61" s="11"/>
      <c r="P61" s="7">
        <v>1289.45</v>
      </c>
      <c r="Q61" s="2"/>
      <c r="R61" s="6">
        <f t="shared" si="32"/>
        <v>7.4098289414167081E-4</v>
      </c>
      <c r="S61" s="2"/>
      <c r="T61" s="7">
        <v>1180</v>
      </c>
      <c r="U61" s="2"/>
      <c r="V61" s="6">
        <f t="shared" si="33"/>
        <v>8.5137085137085137E-4</v>
      </c>
      <c r="W61" s="2"/>
      <c r="X61" s="7">
        <f t="shared" si="34"/>
        <v>109.45000000000005</v>
      </c>
      <c r="Y61" s="2"/>
      <c r="Z61" s="6">
        <f t="shared" si="35"/>
        <v>9.275423728813563E-2</v>
      </c>
    </row>
    <row r="62" spans="1:26" s="28" customFormat="1" outlineLevel="1" collapsed="1" x14ac:dyDescent="0.25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180</v>
      </c>
      <c r="I62" s="1"/>
      <c r="J62" s="5">
        <f t="shared" si="29"/>
        <v>2.5974025974025974E-4</v>
      </c>
      <c r="K62" s="1"/>
      <c r="L62" s="1">
        <f t="shared" si="30"/>
        <v>-180</v>
      </c>
      <c r="M62" s="1"/>
      <c r="N62" s="5">
        <f t="shared" si="31"/>
        <v>-1</v>
      </c>
      <c r="O62" s="14"/>
      <c r="P62" s="1">
        <f>SUM(OSRRefP22_9x_0)</f>
        <v>1557.93</v>
      </c>
      <c r="Q62" s="1"/>
      <c r="R62" s="5">
        <f t="shared" si="32"/>
        <v>8.9526502017924945E-4</v>
      </c>
      <c r="S62" s="1"/>
      <c r="T62" s="1">
        <f>SUM(OSRRefT22_9x_0)</f>
        <v>2320</v>
      </c>
      <c r="U62" s="1"/>
      <c r="V62" s="5">
        <f t="shared" si="33"/>
        <v>1.6738816738816739E-3</v>
      </c>
      <c r="W62" s="1"/>
      <c r="X62" s="1">
        <f t="shared" si="34"/>
        <v>-762.06999999999994</v>
      </c>
      <c r="Y62" s="1"/>
      <c r="Z62" s="5">
        <f t="shared" si="35"/>
        <v>-0.32847844827586203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8"/>
        <v>0</v>
      </c>
      <c r="G63" s="2"/>
      <c r="H63" s="7">
        <v>180</v>
      </c>
      <c r="I63" s="2"/>
      <c r="J63" s="6">
        <f t="shared" si="29"/>
        <v>2.5974025974025974E-4</v>
      </c>
      <c r="K63" s="2"/>
      <c r="L63" s="7">
        <f t="shared" si="30"/>
        <v>-180</v>
      </c>
      <c r="M63" s="2"/>
      <c r="N63" s="6">
        <f t="shared" si="31"/>
        <v>-1</v>
      </c>
      <c r="O63" s="11"/>
      <c r="P63" s="7">
        <v>1557.93</v>
      </c>
      <c r="Q63" s="2"/>
      <c r="R63" s="6">
        <f t="shared" si="32"/>
        <v>8.9526502017924945E-4</v>
      </c>
      <c r="S63" s="2"/>
      <c r="T63" s="7">
        <v>2320</v>
      </c>
      <c r="U63" s="2"/>
      <c r="V63" s="6">
        <f t="shared" si="33"/>
        <v>1.6738816738816739E-3</v>
      </c>
      <c r="W63" s="2"/>
      <c r="X63" s="7">
        <f t="shared" si="34"/>
        <v>-762.06999999999994</v>
      </c>
      <c r="Y63" s="2"/>
      <c r="Z63" s="6">
        <f t="shared" si="35"/>
        <v>-0.32847844827586203</v>
      </c>
    </row>
    <row r="64" spans="1:26" s="28" customFormat="1" outlineLevel="1" collapsed="1" x14ac:dyDescent="0.25">
      <c r="A64" s="29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63720.25</v>
      </c>
      <c r="E64" s="1"/>
      <c r="F64" s="5">
        <f t="shared" si="28"/>
        <v>7.9652282898348206E-2</v>
      </c>
      <c r="G64" s="1"/>
      <c r="H64" s="1">
        <f>SUM(OSRRefH22_10x_0)</f>
        <v>55440</v>
      </c>
      <c r="I64" s="1"/>
      <c r="J64" s="5">
        <f t="shared" si="29"/>
        <v>0.08</v>
      </c>
      <c r="K64" s="1"/>
      <c r="L64" s="1">
        <f t="shared" si="30"/>
        <v>8280.25</v>
      </c>
      <c r="M64" s="1"/>
      <c r="N64" s="5">
        <f t="shared" si="31"/>
        <v>0.14935515873015873</v>
      </c>
      <c r="O64" s="14"/>
      <c r="P64" s="1">
        <f>SUM(OSRRefP22_10x_0)</f>
        <v>135015.17000000001</v>
      </c>
      <c r="Q64" s="1"/>
      <c r="R64" s="5">
        <f t="shared" si="32"/>
        <v>7.7586514730799708E-2</v>
      </c>
      <c r="S64" s="1"/>
      <c r="T64" s="1">
        <f>SUM(OSRRefT22_10x_0)</f>
        <v>110880</v>
      </c>
      <c r="U64" s="1"/>
      <c r="V64" s="5">
        <f t="shared" si="33"/>
        <v>0.08</v>
      </c>
      <c r="W64" s="1"/>
      <c r="X64" s="1">
        <f t="shared" si="34"/>
        <v>24135.170000000013</v>
      </c>
      <c r="Y64" s="1"/>
      <c r="Z64" s="5">
        <f t="shared" si="35"/>
        <v>0.21766928210678221</v>
      </c>
    </row>
    <row r="65" spans="1:26" s="24" customFormat="1" hidden="1" outlineLevel="2" x14ac:dyDescent="0.25">
      <c r="A65" s="27"/>
      <c r="B65" s="11" t="str">
        <f>CONCATENATE("          ", "6387", " - ", "COMMISSION DUE HOUSING")</f>
        <v xml:space="preserve">          6387 - COMMISSION DUE HOUSING</v>
      </c>
      <c r="C65" s="11"/>
      <c r="D65" s="7">
        <v>63720.25</v>
      </c>
      <c r="E65" s="2"/>
      <c r="F65" s="6">
        <f t="shared" si="28"/>
        <v>7.9652282898348206E-2</v>
      </c>
      <c r="G65" s="2"/>
      <c r="H65" s="7">
        <v>55440</v>
      </c>
      <c r="I65" s="2"/>
      <c r="J65" s="6">
        <f t="shared" si="29"/>
        <v>0.08</v>
      </c>
      <c r="K65" s="2"/>
      <c r="L65" s="7">
        <f t="shared" si="30"/>
        <v>8280.25</v>
      </c>
      <c r="M65" s="2"/>
      <c r="N65" s="6">
        <f t="shared" si="31"/>
        <v>0.14935515873015873</v>
      </c>
      <c r="O65" s="11"/>
      <c r="P65" s="7">
        <v>135015.17000000001</v>
      </c>
      <c r="Q65" s="2"/>
      <c r="R65" s="6">
        <f t="shared" si="32"/>
        <v>7.7586514730799708E-2</v>
      </c>
      <c r="S65" s="2"/>
      <c r="T65" s="7">
        <v>110880</v>
      </c>
      <c r="U65" s="2"/>
      <c r="V65" s="6">
        <f t="shared" si="33"/>
        <v>0.08</v>
      </c>
      <c r="W65" s="2"/>
      <c r="X65" s="7">
        <f t="shared" si="34"/>
        <v>24135.170000000013</v>
      </c>
      <c r="Y65" s="2"/>
      <c r="Z65" s="6">
        <f t="shared" si="35"/>
        <v>0.21766928210678221</v>
      </c>
    </row>
    <row r="66" spans="1:26" s="28" customFormat="1" outlineLevel="1" collapsed="1" x14ac:dyDescent="0.25">
      <c r="A66" s="29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1244.3800000000001</v>
      </c>
      <c r="E66" s="1"/>
      <c r="F66" s="5">
        <f t="shared" si="28"/>
        <v>1.5555134795146998E-3</v>
      </c>
      <c r="G66" s="1"/>
      <c r="H66" s="1">
        <f>SUM(OSRRefH22_11x_0)</f>
        <v>200</v>
      </c>
      <c r="I66" s="1"/>
      <c r="J66" s="5">
        <f t="shared" si="29"/>
        <v>2.886002886002886E-4</v>
      </c>
      <c r="K66" s="1"/>
      <c r="L66" s="1">
        <f t="shared" si="30"/>
        <v>1044.3800000000001</v>
      </c>
      <c r="M66" s="1"/>
      <c r="N66" s="5">
        <f t="shared" si="31"/>
        <v>5.2219000000000007</v>
      </c>
      <c r="O66" s="14"/>
      <c r="P66" s="1">
        <f>SUM(OSRRefP22_11x_0)</f>
        <v>1999.51</v>
      </c>
      <c r="Q66" s="1"/>
      <c r="R66" s="5">
        <f t="shared" si="32"/>
        <v>1.1490191218466882E-3</v>
      </c>
      <c r="S66" s="1"/>
      <c r="T66" s="1">
        <f>SUM(OSRRefT22_11x_0)</f>
        <v>2800</v>
      </c>
      <c r="U66" s="1"/>
      <c r="V66" s="5">
        <f t="shared" si="33"/>
        <v>2.0202020202020202E-3</v>
      </c>
      <c r="W66" s="1"/>
      <c r="X66" s="1">
        <f t="shared" si="34"/>
        <v>-800.49</v>
      </c>
      <c r="Y66" s="1"/>
      <c r="Z66" s="5">
        <f t="shared" si="35"/>
        <v>-0.28588928571428573</v>
      </c>
    </row>
    <row r="67" spans="1:26" s="24" customFormat="1" hidden="1" outlineLevel="2" x14ac:dyDescent="0.25">
      <c r="A67" s="27"/>
      <c r="B67" s="11" t="str">
        <f>CONCATENATE("          ", "6373", " - ", "MAINTENANCE CONTRACTS")</f>
        <v xml:space="preserve">          6373 - MAINTENANCE CONTRACTS</v>
      </c>
      <c r="C67" s="11"/>
      <c r="D67" s="7">
        <v>57.15</v>
      </c>
      <c r="E67" s="2"/>
      <c r="F67" s="6">
        <f t="shared" si="28"/>
        <v>7.1439267228873082E-5</v>
      </c>
      <c r="G67" s="2"/>
      <c r="H67" s="7">
        <v>0</v>
      </c>
      <c r="I67" s="2"/>
      <c r="J67" s="6">
        <f t="shared" si="29"/>
        <v>0</v>
      </c>
      <c r="K67" s="2"/>
      <c r="L67" s="7">
        <f t="shared" si="30"/>
        <v>57.15</v>
      </c>
      <c r="M67" s="2"/>
      <c r="N67" s="6">
        <f t="shared" si="31"/>
        <v>0</v>
      </c>
      <c r="O67" s="11"/>
      <c r="P67" s="7">
        <v>154.97999999999999</v>
      </c>
      <c r="Q67" s="2"/>
      <c r="R67" s="6">
        <f t="shared" si="32"/>
        <v>8.9059311283164232E-5</v>
      </c>
      <c r="S67" s="2"/>
      <c r="T67" s="7">
        <v>2000</v>
      </c>
      <c r="U67" s="2"/>
      <c r="V67" s="6">
        <f t="shared" si="33"/>
        <v>1.443001443001443E-3</v>
      </c>
      <c r="W67" s="2"/>
      <c r="X67" s="7">
        <f t="shared" si="34"/>
        <v>-1845.02</v>
      </c>
      <c r="Y67" s="2"/>
      <c r="Z67" s="6">
        <f t="shared" si="35"/>
        <v>-0.92250999999999994</v>
      </c>
    </row>
    <row r="68" spans="1:26" s="24" customFormat="1" hidden="1" outlineLevel="2" x14ac:dyDescent="0.25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7">
        <v>1187.23</v>
      </c>
      <c r="E68" s="2"/>
      <c r="F68" s="6">
        <f t="shared" si="28"/>
        <v>1.4840742122858264E-3</v>
      </c>
      <c r="G68" s="2"/>
      <c r="H68" s="7">
        <v>200</v>
      </c>
      <c r="I68" s="2"/>
      <c r="J68" s="6">
        <f t="shared" si="29"/>
        <v>2.886002886002886E-4</v>
      </c>
      <c r="K68" s="2"/>
      <c r="L68" s="7">
        <f t="shared" si="30"/>
        <v>987.23</v>
      </c>
      <c r="M68" s="2"/>
      <c r="N68" s="6">
        <f t="shared" si="31"/>
        <v>4.9361500000000005</v>
      </c>
      <c r="O68" s="11"/>
      <c r="P68" s="7">
        <v>1844.53</v>
      </c>
      <c r="Q68" s="2"/>
      <c r="R68" s="6">
        <f t="shared" si="32"/>
        <v>1.0599598105635239E-3</v>
      </c>
      <c r="S68" s="2"/>
      <c r="T68" s="7">
        <v>800</v>
      </c>
      <c r="U68" s="2"/>
      <c r="V68" s="6">
        <f t="shared" si="33"/>
        <v>5.772005772005772E-4</v>
      </c>
      <c r="W68" s="2"/>
      <c r="X68" s="7">
        <f t="shared" si="34"/>
        <v>1044.53</v>
      </c>
      <c r="Y68" s="2"/>
      <c r="Z68" s="6">
        <f t="shared" si="35"/>
        <v>1.3056624999999999</v>
      </c>
    </row>
    <row r="69" spans="1:26" s="28" customFormat="1" outlineLevel="1" collapsed="1" x14ac:dyDescent="0.25">
      <c r="A69" s="29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7270.24</v>
      </c>
      <c r="E69" s="1"/>
      <c r="F69" s="5">
        <f t="shared" ref="F69:F73" si="36">IF(D$12=0,0,D69/D$12)</f>
        <v>9.0880248150138621E-3</v>
      </c>
      <c r="G69" s="1"/>
      <c r="H69" s="1">
        <f>SUM(OSRRefH22_12x_0)</f>
        <v>7150</v>
      </c>
      <c r="I69" s="1"/>
      <c r="J69" s="5">
        <f t="shared" ref="J69:J73" si="37">IF(H$12=0,0,H69/H$12)</f>
        <v>1.0317460317460317E-2</v>
      </c>
      <c r="K69" s="1"/>
      <c r="L69" s="1">
        <f t="shared" ref="L69:L73" si="38">+D69-H69</f>
        <v>120.23999999999978</v>
      </c>
      <c r="M69" s="1"/>
      <c r="N69" s="5">
        <f t="shared" ref="N69:N73" si="39">IF(H69=0,0,L69/H69)</f>
        <v>1.6816783216783187E-2</v>
      </c>
      <c r="O69" s="14"/>
      <c r="P69" s="1">
        <f>SUM(OSRRefP22_12x_0)</f>
        <v>25471.57</v>
      </c>
      <c r="Q69" s="1"/>
      <c r="R69" s="5">
        <f t="shared" ref="R69:R73" si="40">IF(P$12=0,0,P69/P$12)</f>
        <v>1.463724662215065E-2</v>
      </c>
      <c r="S69" s="1"/>
      <c r="T69" s="1">
        <f>SUM(OSRRefT22_12x_0)</f>
        <v>28600</v>
      </c>
      <c r="U69" s="1"/>
      <c r="V69" s="5">
        <f t="shared" ref="V69:V73" si="41">IF(T$12=0,0,T69/T$12)</f>
        <v>2.0634920634920634E-2</v>
      </c>
      <c r="W69" s="1"/>
      <c r="X69" s="1">
        <f t="shared" ref="X69:X73" si="42">+P69-T69</f>
        <v>-3128.4300000000003</v>
      </c>
      <c r="Y69" s="1"/>
      <c r="Z69" s="5">
        <f t="shared" ref="Z69:Z73" si="43">IF(T69=0,0,X69/T69)</f>
        <v>-0.10938566433566435</v>
      </c>
    </row>
    <row r="70" spans="1:26" s="24" customFormat="1" hidden="1" outlineLevel="2" x14ac:dyDescent="0.25">
      <c r="A70" s="27"/>
      <c r="B70" s="11" t="str">
        <f>CONCATENATE("          ", "6282", " - ", "JANITORIAL/EXTERMINATOR EXPENS")</f>
        <v xml:space="preserve">          6282 - JANITORIAL/EXTERMINATOR EXPENS</v>
      </c>
      <c r="C70" s="11"/>
      <c r="D70" s="7">
        <v>1438.62</v>
      </c>
      <c r="E70" s="2"/>
      <c r="F70" s="6">
        <f t="shared" si="36"/>
        <v>1.7983194859282831E-3</v>
      </c>
      <c r="G70" s="2"/>
      <c r="H70" s="7">
        <v>450</v>
      </c>
      <c r="I70" s="2"/>
      <c r="J70" s="6">
        <f t="shared" si="37"/>
        <v>6.4935064935064935E-4</v>
      </c>
      <c r="K70" s="2"/>
      <c r="L70" s="7">
        <f t="shared" si="38"/>
        <v>988.61999999999989</v>
      </c>
      <c r="M70" s="2"/>
      <c r="N70" s="6">
        <f t="shared" si="39"/>
        <v>2.196933333333333</v>
      </c>
      <c r="O70" s="11"/>
      <c r="P70" s="7">
        <v>2740.55</v>
      </c>
      <c r="Q70" s="2"/>
      <c r="R70" s="6">
        <f t="shared" si="40"/>
        <v>1.5748580174027344E-3</v>
      </c>
      <c r="S70" s="2"/>
      <c r="T70" s="7">
        <v>1800</v>
      </c>
      <c r="U70" s="2"/>
      <c r="V70" s="6">
        <f t="shared" si="41"/>
        <v>1.2987012987012987E-3</v>
      </c>
      <c r="W70" s="2"/>
      <c r="X70" s="7">
        <f t="shared" si="42"/>
        <v>940.55000000000018</v>
      </c>
      <c r="Y70" s="2"/>
      <c r="Z70" s="6">
        <f t="shared" si="43"/>
        <v>0.52252777777777792</v>
      </c>
    </row>
    <row r="71" spans="1:26" s="24" customFormat="1" hidden="1" outlineLevel="2" x14ac:dyDescent="0.25">
      <c r="A71" s="27"/>
      <c r="B71" s="11" t="str">
        <f>CONCATENATE("          ", "6284", " - ", "TRASH REMOVAL EXPENSE")</f>
        <v xml:space="preserve">          6284 - TRASH REMOVAL EXPENSE</v>
      </c>
      <c r="C71" s="11"/>
      <c r="D71" s="7"/>
      <c r="E71" s="2"/>
      <c r="F71" s="6">
        <f t="shared" si="36"/>
        <v>0</v>
      </c>
      <c r="G71" s="2"/>
      <c r="H71" s="7">
        <v>50</v>
      </c>
      <c r="I71" s="2"/>
      <c r="J71" s="6">
        <f t="shared" si="37"/>
        <v>7.215007215007215E-5</v>
      </c>
      <c r="K71" s="2"/>
      <c r="L71" s="7">
        <f t="shared" si="38"/>
        <v>-50</v>
      </c>
      <c r="M71" s="2"/>
      <c r="N71" s="6">
        <f t="shared" si="39"/>
        <v>-1</v>
      </c>
      <c r="O71" s="11"/>
      <c r="P71" s="7"/>
      <c r="Q71" s="2"/>
      <c r="R71" s="6">
        <f t="shared" si="40"/>
        <v>0</v>
      </c>
      <c r="S71" s="2"/>
      <c r="T71" s="7">
        <v>200</v>
      </c>
      <c r="U71" s="2"/>
      <c r="V71" s="6">
        <f t="shared" si="41"/>
        <v>1.443001443001443E-4</v>
      </c>
      <c r="W71" s="2"/>
      <c r="X71" s="7">
        <f t="shared" si="42"/>
        <v>-200</v>
      </c>
      <c r="Y71" s="2"/>
      <c r="Z71" s="6">
        <f t="shared" si="43"/>
        <v>-1</v>
      </c>
    </row>
    <row r="72" spans="1:26" s="24" customFormat="1" hidden="1" outlineLevel="2" x14ac:dyDescent="0.25">
      <c r="A72" s="27"/>
      <c r="B72" s="11" t="str">
        <f>CONCATENATE("          ", "6285", " - ", "JANITORIAL SERVICES")</f>
        <v xml:space="preserve">          6285 - JANITORIAL SERVICES</v>
      </c>
      <c r="C72" s="11"/>
      <c r="D72" s="7">
        <v>4468.33</v>
      </c>
      <c r="E72" s="2"/>
      <c r="F72" s="6">
        <f t="shared" si="36"/>
        <v>5.585550672559763E-3</v>
      </c>
      <c r="G72" s="2"/>
      <c r="H72" s="7">
        <v>4983</v>
      </c>
      <c r="I72" s="2"/>
      <c r="J72" s="6">
        <f t="shared" si="37"/>
        <v>7.1904761904761907E-3</v>
      </c>
      <c r="K72" s="2"/>
      <c r="L72" s="7">
        <f t="shared" si="38"/>
        <v>-514.67000000000007</v>
      </c>
      <c r="M72" s="2"/>
      <c r="N72" s="6">
        <f t="shared" si="39"/>
        <v>-0.10328516957656032</v>
      </c>
      <c r="O72" s="11"/>
      <c r="P72" s="7">
        <v>18073.32</v>
      </c>
      <c r="Q72" s="2"/>
      <c r="R72" s="6">
        <f t="shared" si="40"/>
        <v>1.0385839668345838E-2</v>
      </c>
      <c r="S72" s="2"/>
      <c r="T72" s="7">
        <v>19932</v>
      </c>
      <c r="U72" s="2"/>
      <c r="V72" s="6">
        <f t="shared" si="41"/>
        <v>1.4380952380952381E-2</v>
      </c>
      <c r="W72" s="2"/>
      <c r="X72" s="7">
        <f t="shared" si="42"/>
        <v>-1858.6800000000003</v>
      </c>
      <c r="Y72" s="2"/>
      <c r="Z72" s="6">
        <f t="shared" si="43"/>
        <v>-9.325105358217943E-2</v>
      </c>
    </row>
    <row r="73" spans="1:26" s="24" customFormat="1" hidden="1" outlineLevel="2" x14ac:dyDescent="0.25">
      <c r="A73" s="27"/>
      <c r="B73" s="11" t="str">
        <f>CONCATENATE("          ", "6286", " - ", "LAUNDRY EXPENSE")</f>
        <v xml:space="preserve">          6286 - LAUNDRY EXPENSE</v>
      </c>
      <c r="C73" s="11"/>
      <c r="D73" s="7">
        <v>1363.29</v>
      </c>
      <c r="E73" s="2"/>
      <c r="F73" s="6">
        <f t="shared" si="36"/>
        <v>1.7041546565258157E-3</v>
      </c>
      <c r="G73" s="2"/>
      <c r="H73" s="7">
        <v>1667</v>
      </c>
      <c r="I73" s="2"/>
      <c r="J73" s="6">
        <f t="shared" si="37"/>
        <v>2.4054834054834055E-3</v>
      </c>
      <c r="K73" s="2"/>
      <c r="L73" s="7">
        <f t="shared" si="38"/>
        <v>-303.71000000000004</v>
      </c>
      <c r="M73" s="2"/>
      <c r="N73" s="6">
        <f t="shared" si="39"/>
        <v>-0.1821895620875825</v>
      </c>
      <c r="O73" s="11"/>
      <c r="P73" s="7">
        <v>4657.7</v>
      </c>
      <c r="Q73" s="2"/>
      <c r="R73" s="6">
        <f t="shared" si="40"/>
        <v>2.6765489364020782E-3</v>
      </c>
      <c r="S73" s="2"/>
      <c r="T73" s="7">
        <v>6668</v>
      </c>
      <c r="U73" s="2"/>
      <c r="V73" s="6">
        <f t="shared" si="41"/>
        <v>4.8109668109668109E-3</v>
      </c>
      <c r="W73" s="2"/>
      <c r="X73" s="7">
        <f t="shared" si="42"/>
        <v>-2010.3000000000002</v>
      </c>
      <c r="Y73" s="2"/>
      <c r="Z73" s="6">
        <f t="shared" si="43"/>
        <v>-0.30148470305938813</v>
      </c>
    </row>
    <row r="74" spans="1:26" s="28" customFormat="1" outlineLevel="1" collapsed="1" x14ac:dyDescent="0.25">
      <c r="A74" s="29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38827.379999999997</v>
      </c>
      <c r="E74" s="1"/>
      <c r="F74" s="5">
        <f t="shared" ref="F74:F81" si="44">IF(D$12=0,0,D74/D$12)</f>
        <v>4.8535425645091897E-2</v>
      </c>
      <c r="G74" s="1"/>
      <c r="H74" s="1">
        <f>SUM(OSRRefH22_13x_0)</f>
        <v>13066</v>
      </c>
      <c r="I74" s="1"/>
      <c r="J74" s="5">
        <f t="shared" ref="J74:J81" si="45">IF(H$12=0,0,H74/H$12)</f>
        <v>1.8854256854256853E-2</v>
      </c>
      <c r="K74" s="1"/>
      <c r="L74" s="1">
        <f t="shared" ref="L74:L81" si="46">+D74-H74</f>
        <v>25761.379999999997</v>
      </c>
      <c r="M74" s="1"/>
      <c r="N74" s="5">
        <f t="shared" ref="N74:N81" si="47">IF(H74=0,0,L74/H74)</f>
        <v>1.9716347772845551</v>
      </c>
      <c r="O74" s="14"/>
      <c r="P74" s="1">
        <f>SUM(OSRRefP22_13x_0)</f>
        <v>73238.5</v>
      </c>
      <c r="Q74" s="1"/>
      <c r="R74" s="5">
        <f t="shared" ref="R74:R81" si="48">IF(P$12=0,0,P74/P$12)</f>
        <v>4.2086529677455312E-2</v>
      </c>
      <c r="S74" s="1"/>
      <c r="T74" s="1">
        <f>SUM(OSRRefT22_13x_0)</f>
        <v>52264</v>
      </c>
      <c r="U74" s="1"/>
      <c r="V74" s="5">
        <f t="shared" ref="V74:V81" si="49">IF(T$12=0,0,T74/T$12)</f>
        <v>3.7708513708513705E-2</v>
      </c>
      <c r="W74" s="1"/>
      <c r="X74" s="1">
        <f t="shared" ref="X74:X81" si="50">+P74-T74</f>
        <v>20974.5</v>
      </c>
      <c r="Y74" s="1"/>
      <c r="Z74" s="5">
        <f t="shared" ref="Z74:Z81" si="51">IF(T74=0,0,X74/T74)</f>
        <v>0.40131830705648247</v>
      </c>
    </row>
    <row r="75" spans="1:26" s="24" customFormat="1" hidden="1" outlineLevel="2" x14ac:dyDescent="0.25">
      <c r="A75" s="27"/>
      <c r="B75" s="11" t="str">
        <f>CONCATENATE("          ", "6237", " - ", "JANITORIAL SUPPLIES")</f>
        <v xml:space="preserve">          6237 - JANITORIAL SUPPLIES</v>
      </c>
      <c r="C75" s="11"/>
      <c r="D75" s="7">
        <v>3394.94</v>
      </c>
      <c r="E75" s="2"/>
      <c r="F75" s="6">
        <f t="shared" si="44"/>
        <v>4.2437799805072679E-3</v>
      </c>
      <c r="G75" s="2"/>
      <c r="H75" s="7">
        <v>3750</v>
      </c>
      <c r="I75" s="2"/>
      <c r="J75" s="6">
        <f t="shared" si="45"/>
        <v>5.411255411255411E-3</v>
      </c>
      <c r="K75" s="2"/>
      <c r="L75" s="7">
        <f t="shared" si="46"/>
        <v>-355.05999999999995</v>
      </c>
      <c r="M75" s="2"/>
      <c r="N75" s="6">
        <f t="shared" si="47"/>
        <v>-9.4682666666666651E-2</v>
      </c>
      <c r="O75" s="11"/>
      <c r="P75" s="7">
        <v>11093.93</v>
      </c>
      <c r="Q75" s="2"/>
      <c r="R75" s="6">
        <f t="shared" si="48"/>
        <v>6.3751307602505766E-3</v>
      </c>
      <c r="S75" s="2"/>
      <c r="T75" s="7">
        <v>15000</v>
      </c>
      <c r="U75" s="2"/>
      <c r="V75" s="6">
        <f t="shared" si="49"/>
        <v>1.0822510822510822E-2</v>
      </c>
      <c r="W75" s="2"/>
      <c r="X75" s="7">
        <f t="shared" si="50"/>
        <v>-3906.0699999999997</v>
      </c>
      <c r="Y75" s="2"/>
      <c r="Z75" s="6">
        <f t="shared" si="51"/>
        <v>-0.26040466666666667</v>
      </c>
    </row>
    <row r="76" spans="1:26" s="24" customFormat="1" hidden="1" outlineLevel="2" x14ac:dyDescent="0.25">
      <c r="A76" s="27"/>
      <c r="B76" s="11" t="str">
        <f>CONCATENATE("          ", "6239", " - ", "KITCHEN SUPPLIES")</f>
        <v xml:space="preserve">          6239 - KITCHEN SUPPLIES</v>
      </c>
      <c r="C76" s="11"/>
      <c r="D76" s="7">
        <v>4817.3500000000004</v>
      </c>
      <c r="E76" s="2"/>
      <c r="F76" s="6">
        <f t="shared" si="44"/>
        <v>6.0218364651795581E-3</v>
      </c>
      <c r="G76" s="2"/>
      <c r="H76" s="7">
        <v>1800</v>
      </c>
      <c r="I76" s="2"/>
      <c r="J76" s="6">
        <f t="shared" si="45"/>
        <v>2.5974025974025974E-3</v>
      </c>
      <c r="K76" s="2"/>
      <c r="L76" s="7">
        <f t="shared" si="46"/>
        <v>3017.3500000000004</v>
      </c>
      <c r="M76" s="2"/>
      <c r="N76" s="6">
        <f t="shared" si="47"/>
        <v>1.6763055555555557</v>
      </c>
      <c r="O76" s="11"/>
      <c r="P76" s="7">
        <v>8862.2900000000009</v>
      </c>
      <c r="Q76" s="2"/>
      <c r="R76" s="6">
        <f t="shared" si="48"/>
        <v>5.09271805259823E-3</v>
      </c>
      <c r="S76" s="2"/>
      <c r="T76" s="7">
        <v>7200</v>
      </c>
      <c r="U76" s="2"/>
      <c r="V76" s="6">
        <f t="shared" si="49"/>
        <v>5.1948051948051948E-3</v>
      </c>
      <c r="W76" s="2"/>
      <c r="X76" s="7">
        <f t="shared" si="50"/>
        <v>1662.2900000000009</v>
      </c>
      <c r="Y76" s="2"/>
      <c r="Z76" s="6">
        <f t="shared" si="51"/>
        <v>0.23087361111111124</v>
      </c>
    </row>
    <row r="77" spans="1:26" s="24" customFormat="1" hidden="1" outlineLevel="2" x14ac:dyDescent="0.25">
      <c r="A77" s="27"/>
      <c r="B77" s="11" t="str">
        <f>CONCATENATE("          ", "6241", " - ", "OFFICE EXPENSE")</f>
        <v xml:space="preserve">          6241 - OFFICE EXPENSE</v>
      </c>
      <c r="C77" s="11"/>
      <c r="D77" s="7">
        <v>1034.22</v>
      </c>
      <c r="E77" s="2"/>
      <c r="F77" s="6">
        <f t="shared" si="44"/>
        <v>1.2928069808126879E-3</v>
      </c>
      <c r="G77" s="2"/>
      <c r="H77" s="7">
        <v>820</v>
      </c>
      <c r="I77" s="2"/>
      <c r="J77" s="6">
        <f t="shared" si="45"/>
        <v>1.1832611832611833E-3</v>
      </c>
      <c r="K77" s="2"/>
      <c r="L77" s="7">
        <f t="shared" si="46"/>
        <v>214.22000000000003</v>
      </c>
      <c r="M77" s="2"/>
      <c r="N77" s="6">
        <f t="shared" si="47"/>
        <v>0.2612439024390244</v>
      </c>
      <c r="O77" s="11"/>
      <c r="P77" s="7">
        <v>2733.03</v>
      </c>
      <c r="Q77" s="2"/>
      <c r="R77" s="6">
        <f t="shared" si="48"/>
        <v>1.5705366467687856E-3</v>
      </c>
      <c r="S77" s="2"/>
      <c r="T77" s="7">
        <v>3280</v>
      </c>
      <c r="U77" s="2"/>
      <c r="V77" s="6">
        <f t="shared" si="49"/>
        <v>2.3665223665223665E-3</v>
      </c>
      <c r="W77" s="2"/>
      <c r="X77" s="7">
        <f t="shared" si="50"/>
        <v>-546.9699999999998</v>
      </c>
      <c r="Y77" s="2"/>
      <c r="Z77" s="6">
        <f t="shared" si="51"/>
        <v>-0.16675914634146335</v>
      </c>
    </row>
    <row r="78" spans="1:26" s="24" customFormat="1" hidden="1" outlineLevel="2" x14ac:dyDescent="0.25">
      <c r="A78" s="27"/>
      <c r="B78" s="11" t="str">
        <f>CONCATENATE("          ", "6243", " - ", "PAPER SUPPLIES")</f>
        <v xml:space="preserve">          6243 - PAPER SUPPLIES</v>
      </c>
      <c r="C78" s="11"/>
      <c r="D78" s="7">
        <v>27629.87</v>
      </c>
      <c r="E78" s="2"/>
      <c r="F78" s="6">
        <f t="shared" si="44"/>
        <v>3.4538191888521842E-2</v>
      </c>
      <c r="G78" s="2"/>
      <c r="H78" s="7">
        <v>6300</v>
      </c>
      <c r="I78" s="2"/>
      <c r="J78" s="6">
        <f t="shared" si="45"/>
        <v>9.0909090909090905E-3</v>
      </c>
      <c r="K78" s="2"/>
      <c r="L78" s="7">
        <f t="shared" si="46"/>
        <v>21329.87</v>
      </c>
      <c r="M78" s="2"/>
      <c r="N78" s="6">
        <f t="shared" si="47"/>
        <v>3.3856936507936508</v>
      </c>
      <c r="O78" s="11"/>
      <c r="P78" s="7">
        <v>48470.91</v>
      </c>
      <c r="Q78" s="2"/>
      <c r="R78" s="6">
        <f t="shared" si="48"/>
        <v>2.7853825408880106E-2</v>
      </c>
      <c r="S78" s="2"/>
      <c r="T78" s="7">
        <v>25200</v>
      </c>
      <c r="U78" s="2"/>
      <c r="V78" s="6">
        <f t="shared" si="49"/>
        <v>1.8181818181818181E-2</v>
      </c>
      <c r="W78" s="2"/>
      <c r="X78" s="7">
        <f t="shared" si="50"/>
        <v>23270.910000000003</v>
      </c>
      <c r="Y78" s="2"/>
      <c r="Z78" s="6">
        <f t="shared" si="51"/>
        <v>0.9234488095238097</v>
      </c>
    </row>
    <row r="79" spans="1:26" s="24" customFormat="1" hidden="1" outlineLevel="2" x14ac:dyDescent="0.25">
      <c r="A79" s="27"/>
      <c r="B79" s="11" t="str">
        <f>CONCATENATE("          ", "6244", " - ", "SAFETY SUPPLY EXPENSE")</f>
        <v xml:space="preserve">          6244 - SAFETY SUPPLY EXPENSE</v>
      </c>
      <c r="C79" s="11"/>
      <c r="D79" s="7"/>
      <c r="E79" s="2"/>
      <c r="F79" s="6">
        <f t="shared" si="44"/>
        <v>0</v>
      </c>
      <c r="G79" s="2"/>
      <c r="H79" s="7">
        <v>200</v>
      </c>
      <c r="I79" s="2"/>
      <c r="J79" s="6">
        <f t="shared" si="45"/>
        <v>2.886002886002886E-4</v>
      </c>
      <c r="K79" s="2"/>
      <c r="L79" s="7">
        <f t="shared" si="46"/>
        <v>-200</v>
      </c>
      <c r="M79" s="2"/>
      <c r="N79" s="6">
        <f t="shared" si="47"/>
        <v>-1</v>
      </c>
      <c r="O79" s="11"/>
      <c r="P79" s="7"/>
      <c r="Q79" s="2"/>
      <c r="R79" s="6">
        <f t="shared" si="48"/>
        <v>0</v>
      </c>
      <c r="S79" s="2"/>
      <c r="T79" s="7">
        <v>800</v>
      </c>
      <c r="U79" s="2"/>
      <c r="V79" s="6">
        <f t="shared" si="49"/>
        <v>5.772005772005772E-4</v>
      </c>
      <c r="W79" s="2"/>
      <c r="X79" s="7">
        <f t="shared" si="50"/>
        <v>-800</v>
      </c>
      <c r="Y79" s="2"/>
      <c r="Z79" s="6">
        <f t="shared" si="51"/>
        <v>-1</v>
      </c>
    </row>
    <row r="80" spans="1:26" s="24" customFormat="1" hidden="1" outlineLevel="2" x14ac:dyDescent="0.25">
      <c r="A80" s="27"/>
      <c r="B80" s="11" t="str">
        <f>CONCATENATE("          ", "6247", " - ", "STORE SUPPLIES")</f>
        <v xml:space="preserve">          6247 - STORE SUPPLIES</v>
      </c>
      <c r="C80" s="11"/>
      <c r="D80" s="7">
        <v>80.59</v>
      </c>
      <c r="E80" s="2"/>
      <c r="F80" s="6">
        <f t="shared" si="44"/>
        <v>1.0073999205555348E-4</v>
      </c>
      <c r="G80" s="2"/>
      <c r="H80" s="7"/>
      <c r="I80" s="2"/>
      <c r="J80" s="6">
        <f t="shared" si="45"/>
        <v>0</v>
      </c>
      <c r="K80" s="2"/>
      <c r="L80" s="7">
        <f t="shared" si="46"/>
        <v>80.59</v>
      </c>
      <c r="M80" s="2"/>
      <c r="N80" s="6">
        <f t="shared" si="47"/>
        <v>0</v>
      </c>
      <c r="O80" s="11"/>
      <c r="P80" s="7">
        <v>207.93</v>
      </c>
      <c r="Q80" s="2"/>
      <c r="R80" s="6">
        <f t="shared" si="48"/>
        <v>1.1948704732938664E-4</v>
      </c>
      <c r="S80" s="2"/>
      <c r="T80" s="7"/>
      <c r="U80" s="2"/>
      <c r="V80" s="6">
        <f t="shared" si="49"/>
        <v>0</v>
      </c>
      <c r="W80" s="2"/>
      <c r="X80" s="7">
        <f t="shared" si="50"/>
        <v>207.93</v>
      </c>
      <c r="Y80" s="2"/>
      <c r="Z80" s="6">
        <f t="shared" si="51"/>
        <v>0</v>
      </c>
    </row>
    <row r="81" spans="1:26" s="24" customFormat="1" hidden="1" outlineLevel="2" x14ac:dyDescent="0.25">
      <c r="A81" s="27"/>
      <c r="B81" s="11" t="str">
        <f>CONCATENATE("          ", "6248", " - ", "UNIFORMS")</f>
        <v xml:space="preserve">          6248 - UNIFORMS</v>
      </c>
      <c r="C81" s="11"/>
      <c r="D81" s="7">
        <v>1870.41</v>
      </c>
      <c r="E81" s="2"/>
      <c r="F81" s="6">
        <f t="shared" si="44"/>
        <v>2.3380703380149869E-3</v>
      </c>
      <c r="G81" s="2"/>
      <c r="H81" s="7">
        <v>196</v>
      </c>
      <c r="I81" s="2"/>
      <c r="J81" s="6">
        <f t="shared" si="45"/>
        <v>2.8282828282828282E-4</v>
      </c>
      <c r="K81" s="2"/>
      <c r="L81" s="7">
        <f t="shared" si="46"/>
        <v>1674.41</v>
      </c>
      <c r="M81" s="2"/>
      <c r="N81" s="6">
        <f t="shared" si="47"/>
        <v>8.5429081632653059</v>
      </c>
      <c r="O81" s="11"/>
      <c r="P81" s="7">
        <v>1870.41</v>
      </c>
      <c r="Q81" s="2"/>
      <c r="R81" s="6">
        <f t="shared" si="48"/>
        <v>1.074831761628231E-3</v>
      </c>
      <c r="S81" s="2"/>
      <c r="T81" s="7">
        <v>784</v>
      </c>
      <c r="U81" s="2"/>
      <c r="V81" s="6">
        <f t="shared" si="49"/>
        <v>5.6565656565656563E-4</v>
      </c>
      <c r="W81" s="2"/>
      <c r="X81" s="7">
        <f t="shared" si="50"/>
        <v>1086.4100000000001</v>
      </c>
      <c r="Y81" s="2"/>
      <c r="Z81" s="6">
        <f t="shared" si="51"/>
        <v>1.3857270408163267</v>
      </c>
    </row>
    <row r="82" spans="1:26" s="28" customFormat="1" outlineLevel="1" collapsed="1" x14ac:dyDescent="0.25">
      <c r="A82" s="29"/>
      <c r="B82" s="14" t="str">
        <f>CONCATENATE("     ","Telephone/Data Lines                              ")</f>
        <v xml:space="preserve">     Telephone/Data Lines                              </v>
      </c>
      <c r="C82" s="14"/>
      <c r="D82" s="1">
        <f>SUM(OSRRefD22_14x_0)</f>
        <v>459</v>
      </c>
      <c r="E82" s="1"/>
      <c r="F82" s="5">
        <f t="shared" ref="F82:F85" si="52">IF(D$12=0,0,D82/D$12)</f>
        <v>5.7376419349173657E-4</v>
      </c>
      <c r="G82" s="1"/>
      <c r="H82" s="1">
        <f>SUM(OSRRefH22_14x_0)</f>
        <v>218</v>
      </c>
      <c r="I82" s="1"/>
      <c r="J82" s="5">
        <f t="shared" ref="J82:J85" si="53">IF(H$12=0,0,H82/H$12)</f>
        <v>3.145743145743146E-4</v>
      </c>
      <c r="K82" s="1"/>
      <c r="L82" s="1">
        <f t="shared" ref="L82:L85" si="54">+D82-H82</f>
        <v>241</v>
      </c>
      <c r="M82" s="1"/>
      <c r="N82" s="5">
        <f t="shared" ref="N82:N85" si="55">IF(H82=0,0,L82/H82)</f>
        <v>1.1055045871559632</v>
      </c>
      <c r="O82" s="14"/>
      <c r="P82" s="1">
        <f>SUM(OSRRefP22_14x_0)</f>
        <v>1294</v>
      </c>
      <c r="Q82" s="1"/>
      <c r="R82" s="5">
        <f t="shared" ref="R82:R85" si="56">IF(P$12=0,0,P82/P$12)</f>
        <v>7.4359755323534992E-4</v>
      </c>
      <c r="S82" s="1"/>
      <c r="T82" s="1">
        <f>SUM(OSRRefT22_14x_0)</f>
        <v>872</v>
      </c>
      <c r="U82" s="1"/>
      <c r="V82" s="5">
        <f t="shared" ref="V82:V85" si="57">IF(T$12=0,0,T82/T$12)</f>
        <v>6.2914862914862919E-4</v>
      </c>
      <c r="W82" s="1"/>
      <c r="X82" s="1">
        <f t="shared" ref="X82:X85" si="58">+P82-T82</f>
        <v>422</v>
      </c>
      <c r="Y82" s="1"/>
      <c r="Z82" s="5">
        <f t="shared" ref="Z82:Z85" si="59">IF(T82=0,0,X82/T82)</f>
        <v>0.48394495412844035</v>
      </c>
    </row>
    <row r="83" spans="1:26" s="24" customFormat="1" hidden="1" outlineLevel="2" x14ac:dyDescent="0.25">
      <c r="A83" s="27"/>
      <c r="B83" s="11" t="str">
        <f>CONCATENATE("          ", "6309", " - ", "TELEPHONE")</f>
        <v xml:space="preserve">          6309 - TELEPHONE</v>
      </c>
      <c r="C83" s="11"/>
      <c r="D83" s="7">
        <v>459</v>
      </c>
      <c r="E83" s="2"/>
      <c r="F83" s="6">
        <f t="shared" si="52"/>
        <v>5.7376419349173657E-4</v>
      </c>
      <c r="G83" s="2"/>
      <c r="H83" s="7">
        <v>218</v>
      </c>
      <c r="I83" s="2"/>
      <c r="J83" s="6">
        <f t="shared" si="53"/>
        <v>3.145743145743146E-4</v>
      </c>
      <c r="K83" s="2"/>
      <c r="L83" s="7">
        <f t="shared" si="54"/>
        <v>241</v>
      </c>
      <c r="M83" s="2"/>
      <c r="N83" s="6">
        <f t="shared" si="55"/>
        <v>1.1055045871559632</v>
      </c>
      <c r="O83" s="11"/>
      <c r="P83" s="7">
        <v>1294</v>
      </c>
      <c r="Q83" s="2"/>
      <c r="R83" s="6">
        <f t="shared" si="56"/>
        <v>7.4359755323534992E-4</v>
      </c>
      <c r="S83" s="2"/>
      <c r="T83" s="7">
        <v>872</v>
      </c>
      <c r="U83" s="2"/>
      <c r="V83" s="6">
        <f t="shared" si="57"/>
        <v>6.2914862914862919E-4</v>
      </c>
      <c r="W83" s="2"/>
      <c r="X83" s="7">
        <f t="shared" si="58"/>
        <v>422</v>
      </c>
      <c r="Y83" s="2"/>
      <c r="Z83" s="6">
        <f t="shared" si="59"/>
        <v>0.48394495412844035</v>
      </c>
    </row>
    <row r="84" spans="1:26" s="28" customFormat="1" outlineLevel="1" collapsed="1" x14ac:dyDescent="0.25">
      <c r="A84" s="29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SUM(OSRRefD22_15x_0)</f>
        <v>0</v>
      </c>
      <c r="E84" s="1"/>
      <c r="F84" s="5">
        <f t="shared" si="52"/>
        <v>0</v>
      </c>
      <c r="G84" s="1"/>
      <c r="H84" s="1">
        <f>SUM(OSRRefH22_15x_0)</f>
        <v>175</v>
      </c>
      <c r="I84" s="1"/>
      <c r="J84" s="5">
        <f t="shared" si="53"/>
        <v>2.5252525252525253E-4</v>
      </c>
      <c r="K84" s="1"/>
      <c r="L84" s="1">
        <f t="shared" si="54"/>
        <v>-175</v>
      </c>
      <c r="M84" s="1"/>
      <c r="N84" s="5">
        <f t="shared" si="55"/>
        <v>-1</v>
      </c>
      <c r="O84" s="14"/>
      <c r="P84" s="1">
        <f>SUM(OSRRefP22_15x_0)</f>
        <v>0</v>
      </c>
      <c r="Q84" s="1"/>
      <c r="R84" s="5">
        <f t="shared" si="56"/>
        <v>0</v>
      </c>
      <c r="S84" s="1"/>
      <c r="T84" s="1">
        <f>SUM(OSRRefT22_15x_0)</f>
        <v>700</v>
      </c>
      <c r="U84" s="1"/>
      <c r="V84" s="5">
        <f t="shared" si="57"/>
        <v>5.0505050505050505E-4</v>
      </c>
      <c r="W84" s="1"/>
      <c r="X84" s="1">
        <f t="shared" si="58"/>
        <v>-700</v>
      </c>
      <c r="Y84" s="1"/>
      <c r="Z84" s="5">
        <f t="shared" si="59"/>
        <v>-1</v>
      </c>
    </row>
    <row r="85" spans="1:26" s="24" customFormat="1" hidden="1" outlineLevel="2" x14ac:dyDescent="0.25">
      <c r="A85" s="27"/>
      <c r="B85" s="11" t="str">
        <f>CONCATENATE("          ", "6376", " - ", "TRAINING")</f>
        <v xml:space="preserve">          6376 - TRAINING</v>
      </c>
      <c r="C85" s="11"/>
      <c r="D85" s="7"/>
      <c r="E85" s="2"/>
      <c r="F85" s="6">
        <f t="shared" si="52"/>
        <v>0</v>
      </c>
      <c r="G85" s="2"/>
      <c r="H85" s="7">
        <v>175</v>
      </c>
      <c r="I85" s="2"/>
      <c r="J85" s="6">
        <f t="shared" si="53"/>
        <v>2.5252525252525253E-4</v>
      </c>
      <c r="K85" s="2"/>
      <c r="L85" s="7">
        <f t="shared" si="54"/>
        <v>-175</v>
      </c>
      <c r="M85" s="2"/>
      <c r="N85" s="6">
        <f t="shared" si="55"/>
        <v>-1</v>
      </c>
      <c r="O85" s="11"/>
      <c r="P85" s="7"/>
      <c r="Q85" s="2"/>
      <c r="R85" s="6">
        <f t="shared" si="56"/>
        <v>0</v>
      </c>
      <c r="S85" s="2"/>
      <c r="T85" s="7">
        <v>700</v>
      </c>
      <c r="U85" s="2"/>
      <c r="V85" s="6">
        <f t="shared" si="57"/>
        <v>5.0505050505050505E-4</v>
      </c>
      <c r="W85" s="2"/>
      <c r="X85" s="7">
        <f t="shared" si="58"/>
        <v>-700</v>
      </c>
      <c r="Y85" s="2"/>
      <c r="Z85" s="6">
        <f t="shared" si="59"/>
        <v>-1</v>
      </c>
    </row>
    <row r="86" spans="1:26" s="60" customFormat="1" x14ac:dyDescent="0.25">
      <c r="A86" s="36"/>
      <c r="B86" s="36"/>
      <c r="C86" s="36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25">
      <c r="A87" s="10"/>
      <c r="B87" s="25" t="s">
        <v>293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6" t="s">
        <v>277</v>
      </c>
      <c r="C89" s="26"/>
      <c r="D89" s="21">
        <f>+D23-D25+D87</f>
        <v>269260.55000000005</v>
      </c>
      <c r="E89" s="13"/>
      <c r="F89" s="20">
        <f>IF(D$12=0,0,D89/D$12)</f>
        <v>0.33658401374704017</v>
      </c>
      <c r="G89" s="13"/>
      <c r="H89" s="21">
        <f>+H23-H25+H87</f>
        <v>226909.72538597509</v>
      </c>
      <c r="I89" s="13"/>
      <c r="J89" s="20">
        <f>IF(H$12=0,0,H89/H$12)</f>
        <v>0.32743106116302323</v>
      </c>
      <c r="K89" s="15"/>
      <c r="L89" s="21">
        <f>+D89-H89</f>
        <v>42350.824614024954</v>
      </c>
      <c r="M89" s="15"/>
      <c r="N89" s="20">
        <f>IF(H89=0,0,L89/H89)</f>
        <v>0.18664173402874598</v>
      </c>
      <c r="O89" s="25"/>
      <c r="P89" s="21">
        <f>+P23-P25+P87</f>
        <v>514646.51999999967</v>
      </c>
      <c r="Q89" s="13"/>
      <c r="R89" s="20">
        <f>IF(P$12=0,0,P89/P$12)</f>
        <v>0.29574180297765634</v>
      </c>
      <c r="S89" s="13"/>
      <c r="T89" s="21">
        <f>+T23-T25+T87</f>
        <v>190122.03538951022</v>
      </c>
      <c r="U89" s="13"/>
      <c r="V89" s="20">
        <f>IF(T$12=0,0,T89/T$12)</f>
        <v>0.13717318570671733</v>
      </c>
      <c r="W89" s="15"/>
      <c r="X89" s="21">
        <f>+P89-T89</f>
        <v>324524.48461048945</v>
      </c>
      <c r="Y89" s="15"/>
      <c r="Z89" s="20">
        <f>IF(T89=0,0,X89/T89)</f>
        <v>1.7069272583034567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2"/>
      <c r="B91" s="10" t="s">
        <v>128</v>
      </c>
      <c r="C91" s="10"/>
      <c r="D91" s="4">
        <v>84776.55</v>
      </c>
      <c r="E91" s="4"/>
      <c r="F91" s="12">
        <f>IF(D$12=0,0,D91/D$12)</f>
        <v>0.10597330901473176</v>
      </c>
      <c r="G91" s="4"/>
      <c r="H91" s="4">
        <v>84128</v>
      </c>
      <c r="I91" s="4"/>
      <c r="J91" s="12">
        <f>IF(H$12=0,0,H91/H$12)</f>
        <v>0.12139682539682539</v>
      </c>
      <c r="K91" s="4"/>
      <c r="L91" s="4">
        <f>+D91-H91</f>
        <v>648.55000000000291</v>
      </c>
      <c r="M91" s="4"/>
      <c r="N91" s="12">
        <f>IF(H91=0,0,L91/H91)</f>
        <v>7.709086154431377E-3</v>
      </c>
      <c r="O91" s="10"/>
      <c r="P91" s="4">
        <v>201151.43</v>
      </c>
      <c r="Q91" s="4"/>
      <c r="R91" s="12">
        <f>IF(P$12=0,0,P91/P$12)</f>
        <v>0.11559173970463041</v>
      </c>
      <c r="S91" s="4"/>
      <c r="T91" s="4">
        <v>159377</v>
      </c>
      <c r="U91" s="4"/>
      <c r="V91" s="12">
        <f>IF(T$12=0,0,T91/T$12)</f>
        <v>0.11499062049062049</v>
      </c>
      <c r="W91" s="4"/>
      <c r="X91" s="4">
        <f>+P91-T91</f>
        <v>41774.429999999993</v>
      </c>
      <c r="Y91" s="4"/>
      <c r="Z91" s="12">
        <f>IF(T91=0,0,X91/T91)</f>
        <v>0.26211078135490062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6" t="s">
        <v>126</v>
      </c>
      <c r="C93" s="26"/>
      <c r="D93" s="31">
        <f>+D89-D91</f>
        <v>184484.00000000006</v>
      </c>
      <c r="E93" s="13"/>
      <c r="F93" s="33">
        <f>IF(D$12=0,0,D93/D$12)</f>
        <v>0.23061070473230841</v>
      </c>
      <c r="G93" s="13"/>
      <c r="H93" s="31">
        <f>+H89-H91</f>
        <v>142781.72538597509</v>
      </c>
      <c r="I93" s="13"/>
      <c r="J93" s="33">
        <f>IF(H$12=0,0,H93/H$12)</f>
        <v>0.20603423576619784</v>
      </c>
      <c r="K93" s="15"/>
      <c r="L93" s="31">
        <f>D93-H93</f>
        <v>41702.274614024966</v>
      </c>
      <c r="M93" s="15"/>
      <c r="N93" s="33">
        <f>IF(H93=0,0,L93/H93)</f>
        <v>0.29207011262325888</v>
      </c>
      <c r="O93" s="25"/>
      <c r="P93" s="31">
        <f>+P89-P91</f>
        <v>313495.08999999968</v>
      </c>
      <c r="Q93" s="13"/>
      <c r="R93" s="33">
        <f>IF(P$12=0,0,P93/P$12)</f>
        <v>0.18015006327302593</v>
      </c>
      <c r="S93" s="13"/>
      <c r="T93" s="31">
        <f>+T89-T91</f>
        <v>30745.035389510216</v>
      </c>
      <c r="U93" s="13"/>
      <c r="V93" s="33">
        <f>IF(T$12=0,0,T93/T$12)</f>
        <v>2.2182565216096836E-2</v>
      </c>
      <c r="W93" s="15"/>
      <c r="X93" s="31">
        <f>P93-T93</f>
        <v>282750.05461048946</v>
      </c>
      <c r="Y93" s="15"/>
      <c r="Z93" s="33">
        <f>IF(T93=0,0,X93/T93)</f>
        <v>9.1966085264926996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6" t="s">
        <v>294</v>
      </c>
      <c r="C96" s="26"/>
      <c r="D96" s="35">
        <f>SUM(D93:D95)</f>
        <v>184484.00000000006</v>
      </c>
      <c r="E96" s="13"/>
      <c r="F96" s="32">
        <f>IF(D$12=0,0,D96/D$12)</f>
        <v>0.23061070473230841</v>
      </c>
      <c r="G96" s="13"/>
      <c r="H96" s="35">
        <f>SUM(H93:H95)</f>
        <v>142781.72538597509</v>
      </c>
      <c r="I96" s="13"/>
      <c r="J96" s="32">
        <f>IF(H$12=0,0,H96/H$12)</f>
        <v>0.20603423576619784</v>
      </c>
      <c r="K96" s="15"/>
      <c r="L96" s="35">
        <f>+D96-H96</f>
        <v>41702.274614024966</v>
      </c>
      <c r="M96" s="15"/>
      <c r="N96" s="32">
        <f>IF(H96=0,0,L96/H96)</f>
        <v>0.29207011262325888</v>
      </c>
      <c r="O96" s="25"/>
      <c r="P96" s="35">
        <f>SUM(P93:P95)</f>
        <v>313495.08999999968</v>
      </c>
      <c r="Q96" s="13"/>
      <c r="R96" s="32">
        <f>IF(P$12=0,0,P96/P$12)</f>
        <v>0.18015006327302593</v>
      </c>
      <c r="S96" s="13"/>
      <c r="T96" s="35">
        <f>SUM(T93:T95)</f>
        <v>30745.035389510216</v>
      </c>
      <c r="U96" s="13"/>
      <c r="V96" s="32">
        <f>IF(T$12=0,0,T96/T$12)</f>
        <v>2.2182565216096836E-2</v>
      </c>
      <c r="W96" s="15"/>
      <c r="X96" s="35">
        <f>+P96-T96</f>
        <v>282750.05461048946</v>
      </c>
      <c r="Y96" s="15"/>
      <c r="Z96" s="32">
        <f>IF(T96=0,0,X96/T96)</f>
        <v>9.1966085264926996</v>
      </c>
    </row>
    <row r="97" spans="1:24" ht="15.75" thickTop="1" x14ac:dyDescent="0.25">
      <c r="A97" s="9"/>
      <c r="C97" s="9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9">
        <v>44517.962875613426</v>
      </c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A99" s="9"/>
      <c r="B99" s="62" t="s">
        <v>56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4" x14ac:dyDescent="0.25">
      <c r="A100" s="9"/>
      <c r="B100" s="57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4" x14ac:dyDescent="0.25"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","450", " - ", "Beachside Dining Hall")</f>
        <v>Department 450 - Beachside Dining Hall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289059.61</v>
      </c>
      <c r="E12" s="4"/>
      <c r="F12" s="12"/>
      <c r="G12" s="4"/>
      <c r="H12" s="4">
        <f>SUM(OSRRefH13x_0)</f>
        <v>151200</v>
      </c>
      <c r="I12" s="4"/>
      <c r="J12" s="12"/>
      <c r="K12" s="4"/>
      <c r="L12" s="4">
        <f t="shared" ref="L12:L16" si="0">+D12-H12</f>
        <v>137859.60999999999</v>
      </c>
      <c r="M12" s="4"/>
      <c r="N12" s="12">
        <f t="shared" ref="N12:N16" si="1">IF(H12=0,0,L12/H12)</f>
        <v>0.91176990740740727</v>
      </c>
      <c r="O12" s="10"/>
      <c r="P12" s="4">
        <f>SUM(OSRRefP13x_0)</f>
        <v>493170.58</v>
      </c>
      <c r="Q12" s="4"/>
      <c r="R12" s="12"/>
      <c r="S12" s="4"/>
      <c r="T12" s="4">
        <f>SUM(OSRRefT13x_0)</f>
        <v>302400</v>
      </c>
      <c r="U12" s="4"/>
      <c r="V12" s="12"/>
      <c r="W12" s="4"/>
      <c r="X12" s="4">
        <f t="shared" ref="X12:X16" si="2">+P12-T12</f>
        <v>190770.58000000002</v>
      </c>
      <c r="Y12" s="4"/>
      <c r="Z12" s="12">
        <f t="shared" ref="Z12:Z16" si="3">IF(T12=0,0,X12/T12)</f>
        <v>0.63085509259259265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--11.12</f>
        <v>11.12</v>
      </c>
      <c r="E13" s="2"/>
      <c r="F13" s="19"/>
      <c r="G13" s="2"/>
      <c r="H13" s="2"/>
      <c r="I13" s="2"/>
      <c r="J13" s="19"/>
      <c r="K13" s="2"/>
      <c r="L13" s="2">
        <f t="shared" si="0"/>
        <v>11.12</v>
      </c>
      <c r="M13" s="2"/>
      <c r="N13" s="19">
        <f t="shared" si="1"/>
        <v>0</v>
      </c>
      <c r="O13" s="11"/>
      <c r="P13" s="2">
        <f>--73.95</f>
        <v>73.95</v>
      </c>
      <c r="Q13" s="2"/>
      <c r="R13" s="19"/>
      <c r="S13" s="2"/>
      <c r="T13" s="2"/>
      <c r="U13" s="2"/>
      <c r="V13" s="19"/>
      <c r="W13" s="2"/>
      <c r="X13" s="2">
        <f t="shared" si="2"/>
        <v>73.95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151200</v>
      </c>
      <c r="I14" s="2"/>
      <c r="J14" s="19"/>
      <c r="K14" s="2"/>
      <c r="L14" s="2">
        <f t="shared" si="0"/>
        <v>-151200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302400</v>
      </c>
      <c r="U14" s="2"/>
      <c r="V14" s="19"/>
      <c r="W14" s="2"/>
      <c r="X14" s="2">
        <f t="shared" si="2"/>
        <v>-302400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--287723.81</f>
        <v>287723.81</v>
      </c>
      <c r="E15" s="2"/>
      <c r="F15" s="19"/>
      <c r="G15" s="2"/>
      <c r="H15" s="2"/>
      <c r="I15" s="2"/>
      <c r="J15" s="19"/>
      <c r="K15" s="2"/>
      <c r="L15" s="2">
        <f t="shared" si="0"/>
        <v>287723.81</v>
      </c>
      <c r="M15" s="2"/>
      <c r="N15" s="19">
        <f t="shared" si="1"/>
        <v>0</v>
      </c>
      <c r="O15" s="11"/>
      <c r="P15" s="2">
        <f>--490461.67</f>
        <v>490461.67</v>
      </c>
      <c r="Q15" s="2"/>
      <c r="R15" s="19"/>
      <c r="S15" s="2"/>
      <c r="T15" s="2"/>
      <c r="U15" s="2"/>
      <c r="V15" s="19"/>
      <c r="W15" s="2"/>
      <c r="X15" s="2">
        <f t="shared" si="2"/>
        <v>490461.67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--1324.68</f>
        <v>1324.68</v>
      </c>
      <c r="E16" s="2"/>
      <c r="F16" s="19"/>
      <c r="G16" s="2"/>
      <c r="H16" s="2"/>
      <c r="I16" s="2"/>
      <c r="J16" s="19"/>
      <c r="K16" s="2"/>
      <c r="L16" s="2">
        <f t="shared" si="0"/>
        <v>1324.68</v>
      </c>
      <c r="M16" s="2"/>
      <c r="N16" s="19">
        <f t="shared" si="1"/>
        <v>0</v>
      </c>
      <c r="O16" s="11"/>
      <c r="P16" s="2">
        <f>--2634.96</f>
        <v>2634.96</v>
      </c>
      <c r="Q16" s="2"/>
      <c r="R16" s="19"/>
      <c r="S16" s="2"/>
      <c r="T16" s="2"/>
      <c r="U16" s="2"/>
      <c r="V16" s="19"/>
      <c r="W16" s="2"/>
      <c r="X16" s="2">
        <f t="shared" si="2"/>
        <v>2634.96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257</v>
      </c>
      <c r="C18" s="10"/>
      <c r="D18" s="4">
        <f>SUM(OSRRefD16x_0)</f>
        <v>71470.430000000008</v>
      </c>
      <c r="E18" s="4"/>
      <c r="F18" s="12">
        <f t="shared" ref="F18:F21" si="4">IF(D$12=0,0,D18/D$12)</f>
        <v>0.24725152711580844</v>
      </c>
      <c r="G18" s="4"/>
      <c r="H18" s="4">
        <f>SUM(OSRRefH16x_0)</f>
        <v>36288</v>
      </c>
      <c r="I18" s="4"/>
      <c r="J18" s="12">
        <f t="shared" ref="J18:J21" si="5">IF(H$12=0,0,H18/H$12)</f>
        <v>0.24</v>
      </c>
      <c r="K18" s="4"/>
      <c r="L18" s="4">
        <f t="shared" ref="L18:L21" si="6">+D18-H18</f>
        <v>35182.430000000008</v>
      </c>
      <c r="M18" s="4"/>
      <c r="N18" s="12">
        <f t="shared" ref="N18:N21" si="7">IF(H18=0,0,L18/H18)</f>
        <v>0.96953345458553808</v>
      </c>
      <c r="O18" s="10"/>
      <c r="P18" s="4">
        <f>SUM(OSRRefP16x_0)</f>
        <v>161526.97</v>
      </c>
      <c r="Q18" s="4"/>
      <c r="R18" s="12">
        <f t="shared" ref="R18:R21" si="8">IF(P$12=0,0,P18/P$12)</f>
        <v>0.32752758690512318</v>
      </c>
      <c r="S18" s="4"/>
      <c r="T18" s="4">
        <f>SUM(OSRRefT16x_0)</f>
        <v>88882</v>
      </c>
      <c r="U18" s="4"/>
      <c r="V18" s="12">
        <f t="shared" ref="V18:V21" si="9">IF(T$12=0,0,T18/T$12)</f>
        <v>0.29392195767195767</v>
      </c>
      <c r="W18" s="4"/>
      <c r="X18" s="4">
        <f t="shared" ref="X18:X21" si="10">+P18-T18</f>
        <v>72644.97</v>
      </c>
      <c r="Y18" s="4"/>
      <c r="Z18" s="12">
        <f t="shared" ref="Z18:Z21" si="11">IF(T18=0,0,X18/T18)</f>
        <v>0.81731925474224254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36288</v>
      </c>
      <c r="I19" s="2"/>
      <c r="J19" s="19">
        <f t="shared" si="5"/>
        <v>0.24</v>
      </c>
      <c r="K19" s="2"/>
      <c r="L19" s="2">
        <f t="shared" si="6"/>
        <v>-36288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88882</v>
      </c>
      <c r="U19" s="2"/>
      <c r="V19" s="19">
        <f t="shared" si="9"/>
        <v>0.29392195767195767</v>
      </c>
      <c r="W19" s="2"/>
      <c r="X19" s="2">
        <f t="shared" si="10"/>
        <v>-88882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68749.490000000005</v>
      </c>
      <c r="E20" s="2"/>
      <c r="F20" s="19">
        <f t="shared" si="4"/>
        <v>0.23783845138378207</v>
      </c>
      <c r="G20" s="2"/>
      <c r="H20" s="2"/>
      <c r="I20" s="2"/>
      <c r="J20" s="19">
        <f t="shared" si="5"/>
        <v>0</v>
      </c>
      <c r="K20" s="2"/>
      <c r="L20" s="2">
        <f t="shared" si="6"/>
        <v>68749.490000000005</v>
      </c>
      <c r="M20" s="2"/>
      <c r="N20" s="19">
        <f t="shared" si="7"/>
        <v>0</v>
      </c>
      <c r="O20" s="11"/>
      <c r="P20" s="2">
        <v>180026.03</v>
      </c>
      <c r="Q20" s="2"/>
      <c r="R20" s="19">
        <f t="shared" si="8"/>
        <v>0.3650380564063655</v>
      </c>
      <c r="S20" s="2"/>
      <c r="T20" s="2"/>
      <c r="U20" s="2"/>
      <c r="V20" s="19">
        <f t="shared" si="9"/>
        <v>0</v>
      </c>
      <c r="W20" s="2"/>
      <c r="X20" s="2">
        <f t="shared" si="10"/>
        <v>180026.03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2720.94</v>
      </c>
      <c r="E21" s="2"/>
      <c r="F21" s="19">
        <f t="shared" si="4"/>
        <v>9.4130757320263457E-3</v>
      </c>
      <c r="G21" s="2"/>
      <c r="H21" s="2"/>
      <c r="I21" s="2"/>
      <c r="J21" s="19">
        <f t="shared" si="5"/>
        <v>0</v>
      </c>
      <c r="K21" s="2"/>
      <c r="L21" s="2">
        <f t="shared" si="6"/>
        <v>2720.94</v>
      </c>
      <c r="M21" s="2"/>
      <c r="N21" s="19">
        <f t="shared" si="7"/>
        <v>0</v>
      </c>
      <c r="O21" s="11"/>
      <c r="P21" s="2">
        <v>-18499.060000000001</v>
      </c>
      <c r="Q21" s="2"/>
      <c r="R21" s="19">
        <f t="shared" si="8"/>
        <v>-3.7510469501242351E-2</v>
      </c>
      <c r="S21" s="2"/>
      <c r="T21" s="2"/>
      <c r="U21" s="2"/>
      <c r="V21" s="19">
        <f t="shared" si="9"/>
        <v>0</v>
      </c>
      <c r="W21" s="2"/>
      <c r="X21" s="2">
        <f t="shared" si="10"/>
        <v>-18499.060000000001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108</v>
      </c>
      <c r="C23" s="26"/>
      <c r="D23" s="21">
        <f>D12-D18</f>
        <v>217589.18</v>
      </c>
      <c r="E23" s="13"/>
      <c r="F23" s="20">
        <f>IF(D$12=0,0,D23/D$12)</f>
        <v>0.75274847288419167</v>
      </c>
      <c r="G23" s="13"/>
      <c r="H23" s="21">
        <f>H12-H18</f>
        <v>114912</v>
      </c>
      <c r="I23" s="13"/>
      <c r="J23" s="20">
        <f>IF(H$12=0,0,H23/H$12)</f>
        <v>0.76</v>
      </c>
      <c r="K23" s="15"/>
      <c r="L23" s="21">
        <f>+D23-H23</f>
        <v>102677.18</v>
      </c>
      <c r="M23" s="15"/>
      <c r="N23" s="20">
        <f>IF(H23=0,0,L23/H23)</f>
        <v>0.89352878724589246</v>
      </c>
      <c r="O23" s="25"/>
      <c r="P23" s="21">
        <f>P12-P18</f>
        <v>331643.61</v>
      </c>
      <c r="Q23" s="13"/>
      <c r="R23" s="20">
        <f>IF(P$12=0,0,P23/P$12)</f>
        <v>0.67247241309487682</v>
      </c>
      <c r="S23" s="13"/>
      <c r="T23" s="21">
        <f>T12-T18</f>
        <v>213518</v>
      </c>
      <c r="U23" s="13"/>
      <c r="V23" s="20">
        <f>IF(T$12=0,0,T23/T$12)</f>
        <v>0.70607804232804228</v>
      </c>
      <c r="W23" s="15"/>
      <c r="X23" s="21">
        <f>+P23-T23</f>
        <v>118125.60999999999</v>
      </c>
      <c r="Y23" s="15"/>
      <c r="Z23" s="20">
        <f>IF(T23=0,0,X23/T23)</f>
        <v>0.55323490291216659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295</v>
      </c>
      <c r="C25" s="10"/>
      <c r="D25" s="22">
        <f>SUM(OSRRefD22x_0)</f>
        <v>199825.16999999995</v>
      </c>
      <c r="E25" s="22"/>
      <c r="F25" s="34">
        <f t="shared" ref="F25:F36" si="12">IF(D$12=0,0,D25/D$12)</f>
        <v>0.69129398603976522</v>
      </c>
      <c r="G25" s="22"/>
      <c r="H25" s="22">
        <f>SUM(OSRRefH22x_0)</f>
        <v>154506.65874615387</v>
      </c>
      <c r="I25" s="22"/>
      <c r="J25" s="34">
        <f t="shared" ref="J25:J36" si="13">IF(H$12=0,0,H25/H$12)</f>
        <v>1.0218694361518113</v>
      </c>
      <c r="K25" s="4"/>
      <c r="L25" s="22">
        <f t="shared" ref="L25:L36" si="14">+D25-H25</f>
        <v>45318.511253846082</v>
      </c>
      <c r="M25" s="4"/>
      <c r="N25" s="34">
        <f t="shared" ref="N25:N36" si="15">IF(H25=0,0,L25/H25)</f>
        <v>0.29331105611637076</v>
      </c>
      <c r="O25" s="10"/>
      <c r="P25" s="22">
        <f>SUM(OSRRefP22x_0)</f>
        <v>435228.75999999989</v>
      </c>
      <c r="Q25" s="22"/>
      <c r="R25" s="34">
        <f t="shared" ref="R25:R36" si="16">IF(P$12=0,0,P25/P$12)</f>
        <v>0.88251160480821844</v>
      </c>
      <c r="S25" s="22"/>
      <c r="T25" s="22">
        <f>SUM(OSRRefT22x_0)</f>
        <v>472416.03498615394</v>
      </c>
      <c r="U25" s="22"/>
      <c r="V25" s="34">
        <f t="shared" ref="V25:V36" si="17">IF(T$12=0,0,T25/T$12)</f>
        <v>1.5622223379171758</v>
      </c>
      <c r="W25" s="4"/>
      <c r="X25" s="22">
        <f t="shared" ref="X25:X36" si="18">+P25-T25</f>
        <v>-37187.274986154051</v>
      </c>
      <c r="Y25" s="4"/>
      <c r="Z25" s="34">
        <f t="shared" ref="Z25:Z36" si="19">IF(T25=0,0,X25/T25)</f>
        <v>-7.8717215827028342E-2</v>
      </c>
    </row>
    <row r="26" spans="1:26" s="28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28618.34</v>
      </c>
      <c r="E26" s="1"/>
      <c r="F26" s="5">
        <f t="shared" si="12"/>
        <v>9.900497686273084E-2</v>
      </c>
      <c r="G26" s="1"/>
      <c r="H26" s="1">
        <f>SUM(OSRRefH22_0x_0)</f>
        <v>37078.289515384633</v>
      </c>
      <c r="I26" s="1"/>
      <c r="J26" s="5">
        <f t="shared" si="13"/>
        <v>0.24522678250915764</v>
      </c>
      <c r="K26" s="1"/>
      <c r="L26" s="1">
        <f t="shared" si="14"/>
        <v>-8459.9495153846328</v>
      </c>
      <c r="M26" s="1"/>
      <c r="N26" s="5">
        <f t="shared" si="15"/>
        <v>-0.22816450343197212</v>
      </c>
      <c r="O26" s="14"/>
      <c r="P26" s="1">
        <f>SUM(OSRRefP22_0x_0)</f>
        <v>90338.87000000001</v>
      </c>
      <c r="Q26" s="1"/>
      <c r="R26" s="5">
        <f t="shared" si="16"/>
        <v>0.18317976307508044</v>
      </c>
      <c r="S26" s="1"/>
      <c r="T26" s="1">
        <f>SUM(OSRRefT22_0x_0)</f>
        <v>130770.40575538471</v>
      </c>
      <c r="U26" s="1"/>
      <c r="V26" s="5">
        <f t="shared" si="17"/>
        <v>0.43244181797415576</v>
      </c>
      <c r="W26" s="1"/>
      <c r="X26" s="1">
        <f t="shared" si="18"/>
        <v>-40431.535755384699</v>
      </c>
      <c r="Y26" s="1"/>
      <c r="Z26" s="5">
        <f t="shared" si="19"/>
        <v>-0.30917955421056614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7">
        <v>5036.92</v>
      </c>
      <c r="E27" s="2"/>
      <c r="F27" s="6">
        <f t="shared" si="12"/>
        <v>1.7425194754811992E-2</v>
      </c>
      <c r="G27" s="2"/>
      <c r="H27" s="7">
        <v>3292.49720769231</v>
      </c>
      <c r="I27" s="2"/>
      <c r="J27" s="6">
        <f t="shared" si="13"/>
        <v>2.1775775183150197E-2</v>
      </c>
      <c r="K27" s="2"/>
      <c r="L27" s="7">
        <f t="shared" si="14"/>
        <v>1744.4227923076901</v>
      </c>
      <c r="M27" s="2"/>
      <c r="N27" s="6">
        <f t="shared" si="15"/>
        <v>0.52981754646053136</v>
      </c>
      <c r="O27" s="11"/>
      <c r="P27" s="7">
        <v>12756.06</v>
      </c>
      <c r="Q27" s="2"/>
      <c r="R27" s="6">
        <f t="shared" si="16"/>
        <v>2.5865411517451017E-2</v>
      </c>
      <c r="S27" s="2"/>
      <c r="T27" s="7">
        <v>12844.0534476923</v>
      </c>
      <c r="U27" s="2"/>
      <c r="V27" s="6">
        <f t="shared" si="17"/>
        <v>4.2473721718559197E-2</v>
      </c>
      <c r="W27" s="2"/>
      <c r="X27" s="7">
        <f t="shared" si="18"/>
        <v>-87.993447692300833</v>
      </c>
      <c r="Y27" s="2"/>
      <c r="Z27" s="6">
        <f t="shared" si="19"/>
        <v>-6.8509094929148457E-3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3718.33</v>
      </c>
      <c r="E28" s="2"/>
      <c r="F28" s="6">
        <f t="shared" si="12"/>
        <v>1.2863540499483827E-2</v>
      </c>
      <c r="G28" s="2"/>
      <c r="H28" s="7">
        <v>3567.2354615384602</v>
      </c>
      <c r="I28" s="2"/>
      <c r="J28" s="6">
        <f t="shared" si="13"/>
        <v>2.3592827126577117E-2</v>
      </c>
      <c r="K28" s="2"/>
      <c r="L28" s="7">
        <f t="shared" si="14"/>
        <v>151.09453846153974</v>
      </c>
      <c r="M28" s="2"/>
      <c r="N28" s="6">
        <f t="shared" si="15"/>
        <v>4.2356199945482828E-2</v>
      </c>
      <c r="O28" s="11"/>
      <c r="P28" s="7">
        <v>7477.54</v>
      </c>
      <c r="Q28" s="2"/>
      <c r="R28" s="6">
        <f t="shared" si="16"/>
        <v>1.5162177760076442E-2</v>
      </c>
      <c r="S28" s="2"/>
      <c r="T28" s="7">
        <v>9992.3466615384605</v>
      </c>
      <c r="U28" s="2"/>
      <c r="V28" s="6">
        <f t="shared" si="17"/>
        <v>3.3043474409849408E-2</v>
      </c>
      <c r="W28" s="2"/>
      <c r="X28" s="7">
        <f t="shared" si="18"/>
        <v>-2514.8066615384605</v>
      </c>
      <c r="Y28" s="2"/>
      <c r="Z28" s="6">
        <f t="shared" si="19"/>
        <v>-0.25167328023338126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7">
        <v>11951.73</v>
      </c>
      <c r="E29" s="2"/>
      <c r="F29" s="6">
        <f t="shared" si="12"/>
        <v>4.1346938785394471E-2</v>
      </c>
      <c r="G29" s="2"/>
      <c r="H29" s="7">
        <v>22728.9230769231</v>
      </c>
      <c r="I29" s="2"/>
      <c r="J29" s="6">
        <f t="shared" si="13"/>
        <v>0.15032356532356547</v>
      </c>
      <c r="K29" s="2"/>
      <c r="L29" s="7">
        <f t="shared" si="14"/>
        <v>-10777.1930769231</v>
      </c>
      <c r="M29" s="2"/>
      <c r="N29" s="6">
        <f t="shared" si="15"/>
        <v>-0.47416206392397409</v>
      </c>
      <c r="O29" s="11"/>
      <c r="P29" s="7">
        <v>47590.69</v>
      </c>
      <c r="Q29" s="2"/>
      <c r="R29" s="6">
        <f t="shared" si="16"/>
        <v>9.6499450555221689E-2</v>
      </c>
      <c r="S29" s="2"/>
      <c r="T29" s="7">
        <v>82614.923076923194</v>
      </c>
      <c r="U29" s="2"/>
      <c r="V29" s="6">
        <f t="shared" si="17"/>
        <v>0.27319749694749734</v>
      </c>
      <c r="W29" s="2"/>
      <c r="X29" s="7">
        <f t="shared" si="18"/>
        <v>-35024.233076923192</v>
      </c>
      <c r="Y29" s="2"/>
      <c r="Z29" s="6">
        <f t="shared" si="19"/>
        <v>-0.42394559932364689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268.55</v>
      </c>
      <c r="E30" s="2"/>
      <c r="F30" s="6">
        <f t="shared" si="12"/>
        <v>9.290471263003504E-4</v>
      </c>
      <c r="G30" s="2"/>
      <c r="H30" s="7">
        <v>197.656846153846</v>
      </c>
      <c r="I30" s="2"/>
      <c r="J30" s="6">
        <f t="shared" si="13"/>
        <v>1.3072542735042725E-3</v>
      </c>
      <c r="K30" s="2"/>
      <c r="L30" s="7">
        <f t="shared" si="14"/>
        <v>70.893153846154007</v>
      </c>
      <c r="M30" s="2"/>
      <c r="N30" s="6">
        <f t="shared" si="15"/>
        <v>0.35866783886136883</v>
      </c>
      <c r="O30" s="11"/>
      <c r="P30" s="7">
        <v>540.04999999999995</v>
      </c>
      <c r="Q30" s="2"/>
      <c r="R30" s="6">
        <f t="shared" si="16"/>
        <v>1.0950572112391618E-3</v>
      </c>
      <c r="S30" s="2"/>
      <c r="T30" s="7">
        <v>553.66564615384596</v>
      </c>
      <c r="U30" s="2"/>
      <c r="V30" s="6">
        <f t="shared" si="17"/>
        <v>1.8309049145299138E-3</v>
      </c>
      <c r="W30" s="2"/>
      <c r="X30" s="7">
        <f t="shared" si="18"/>
        <v>-13.615646153846001</v>
      </c>
      <c r="Y30" s="2"/>
      <c r="Z30" s="6">
        <f t="shared" si="19"/>
        <v>-2.4591820439700259E-2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7">
        <v>595.52</v>
      </c>
      <c r="E31" s="2"/>
      <c r="F31" s="6">
        <f t="shared" si="12"/>
        <v>2.0601978948217637E-3</v>
      </c>
      <c r="G31" s="2"/>
      <c r="H31" s="7">
        <v>511.038461538462</v>
      </c>
      <c r="I31" s="2"/>
      <c r="J31" s="6">
        <f t="shared" si="13"/>
        <v>3.3798840048840078E-3</v>
      </c>
      <c r="K31" s="2"/>
      <c r="L31" s="7">
        <f t="shared" si="14"/>
        <v>84.48153846153798</v>
      </c>
      <c r="M31" s="2"/>
      <c r="N31" s="6">
        <f t="shared" si="15"/>
        <v>0.1653134642884011</v>
      </c>
      <c r="O31" s="11"/>
      <c r="P31" s="7">
        <v>2605.4699999999998</v>
      </c>
      <c r="Q31" s="2"/>
      <c r="R31" s="6">
        <f t="shared" si="16"/>
        <v>5.2831010316957668E-3</v>
      </c>
      <c r="S31" s="2"/>
      <c r="T31" s="7">
        <v>1839.7384615384599</v>
      </c>
      <c r="U31" s="2"/>
      <c r="V31" s="6">
        <f t="shared" si="17"/>
        <v>6.0837912087912029E-3</v>
      </c>
      <c r="W31" s="2"/>
      <c r="X31" s="7">
        <f t="shared" si="18"/>
        <v>765.73153846153991</v>
      </c>
      <c r="Y31" s="2"/>
      <c r="Z31" s="6">
        <f t="shared" si="19"/>
        <v>0.41621760618148179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7">
        <v>898.11</v>
      </c>
      <c r="E33" s="2"/>
      <c r="F33" s="6">
        <f t="shared" si="12"/>
        <v>3.1070061984792689E-3</v>
      </c>
      <c r="G33" s="2"/>
      <c r="H33" s="7"/>
      <c r="I33" s="2"/>
      <c r="J33" s="6">
        <f t="shared" si="13"/>
        <v>0</v>
      </c>
      <c r="K33" s="2"/>
      <c r="L33" s="7">
        <f t="shared" si="14"/>
        <v>898.11</v>
      </c>
      <c r="M33" s="2"/>
      <c r="N33" s="6">
        <f t="shared" si="15"/>
        <v>0</v>
      </c>
      <c r="O33" s="11"/>
      <c r="P33" s="7">
        <v>2883.93</v>
      </c>
      <c r="Q33" s="2"/>
      <c r="R33" s="6">
        <f t="shared" si="16"/>
        <v>5.8477332528635425E-3</v>
      </c>
      <c r="S33" s="2"/>
      <c r="T33" s="7"/>
      <c r="U33" s="2"/>
      <c r="V33" s="6">
        <f t="shared" si="17"/>
        <v>0</v>
      </c>
      <c r="W33" s="2"/>
      <c r="X33" s="7">
        <f t="shared" si="18"/>
        <v>2883.93</v>
      </c>
      <c r="Y33" s="2"/>
      <c r="Z33" s="6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7">
        <v>2384.17</v>
      </c>
      <c r="E34" s="2"/>
      <c r="F34" s="6">
        <f t="shared" si="12"/>
        <v>8.2480219218451171E-3</v>
      </c>
      <c r="G34" s="2"/>
      <c r="H34" s="7">
        <v>2032.26923076923</v>
      </c>
      <c r="I34" s="2"/>
      <c r="J34" s="6">
        <f t="shared" si="13"/>
        <v>1.3440934065934062E-2</v>
      </c>
      <c r="K34" s="2"/>
      <c r="L34" s="7">
        <f t="shared" si="14"/>
        <v>351.90076923077004</v>
      </c>
      <c r="M34" s="2"/>
      <c r="N34" s="6">
        <f t="shared" si="15"/>
        <v>0.1731565699577968</v>
      </c>
      <c r="O34" s="11"/>
      <c r="P34" s="7">
        <v>6618.71</v>
      </c>
      <c r="Q34" s="2"/>
      <c r="R34" s="6">
        <f t="shared" si="16"/>
        <v>1.3420731625961954E-2</v>
      </c>
      <c r="S34" s="2"/>
      <c r="T34" s="7">
        <v>7316.1692307692201</v>
      </c>
      <c r="U34" s="2"/>
      <c r="V34" s="6">
        <f t="shared" si="17"/>
        <v>2.4193681318681284E-2</v>
      </c>
      <c r="W34" s="2"/>
      <c r="X34" s="7">
        <f t="shared" si="18"/>
        <v>-697.45923076922008</v>
      </c>
      <c r="Y34" s="2"/>
      <c r="Z34" s="6">
        <f t="shared" si="19"/>
        <v>-9.5331205275563227E-2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7">
        <v>2152.41</v>
      </c>
      <c r="E35" s="2"/>
      <c r="F35" s="6">
        <f t="shared" si="12"/>
        <v>7.4462495815309513E-3</v>
      </c>
      <c r="G35" s="2"/>
      <c r="H35" s="7">
        <v>2823.6692307692301</v>
      </c>
      <c r="I35" s="2"/>
      <c r="J35" s="6">
        <f t="shared" si="13"/>
        <v>1.8675061050061045E-2</v>
      </c>
      <c r="K35" s="2"/>
      <c r="L35" s="7">
        <f t="shared" si="14"/>
        <v>-671.25923076923027</v>
      </c>
      <c r="M35" s="2"/>
      <c r="N35" s="6">
        <f t="shared" si="15"/>
        <v>-0.23772587222844241</v>
      </c>
      <c r="O35" s="11"/>
      <c r="P35" s="7">
        <v>5633.76</v>
      </c>
      <c r="Q35" s="2"/>
      <c r="R35" s="6">
        <f t="shared" si="16"/>
        <v>1.1423552475494382E-2</v>
      </c>
      <c r="S35" s="2"/>
      <c r="T35" s="7">
        <v>7909.5092307692203</v>
      </c>
      <c r="U35" s="2"/>
      <c r="V35" s="6">
        <f t="shared" si="17"/>
        <v>2.615578449328446E-2</v>
      </c>
      <c r="W35" s="2"/>
      <c r="X35" s="7">
        <f t="shared" si="18"/>
        <v>-2275.74923076922</v>
      </c>
      <c r="Y35" s="2"/>
      <c r="Z35" s="6">
        <f t="shared" si="19"/>
        <v>-0.28772319044981981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7">
        <v>1612.6</v>
      </c>
      <c r="E36" s="2"/>
      <c r="F36" s="6">
        <f t="shared" si="12"/>
        <v>5.5787801000630978E-3</v>
      </c>
      <c r="G36" s="2"/>
      <c r="H36" s="7">
        <v>1925</v>
      </c>
      <c r="I36" s="2"/>
      <c r="J36" s="6">
        <f t="shared" si="13"/>
        <v>1.2731481481481481E-2</v>
      </c>
      <c r="K36" s="2"/>
      <c r="L36" s="7">
        <f t="shared" si="14"/>
        <v>-312.40000000000009</v>
      </c>
      <c r="M36" s="2"/>
      <c r="N36" s="6">
        <f t="shared" si="15"/>
        <v>-0.16228571428571434</v>
      </c>
      <c r="O36" s="11"/>
      <c r="P36" s="7">
        <v>4232.66</v>
      </c>
      <c r="Q36" s="2"/>
      <c r="R36" s="6">
        <f t="shared" si="16"/>
        <v>8.582547645076476E-3</v>
      </c>
      <c r="S36" s="2"/>
      <c r="T36" s="7">
        <v>7700</v>
      </c>
      <c r="U36" s="2"/>
      <c r="V36" s="6">
        <f t="shared" si="17"/>
        <v>2.5462962962962962E-2</v>
      </c>
      <c r="W36" s="2"/>
      <c r="X36" s="7">
        <f t="shared" si="18"/>
        <v>-3467.34</v>
      </c>
      <c r="Y36" s="2"/>
      <c r="Z36" s="6">
        <f t="shared" si="19"/>
        <v>-0.4503038961038961</v>
      </c>
    </row>
    <row r="37" spans="1:26" s="28" customFormat="1" outlineLevel="1" collapsed="1" x14ac:dyDescent="0.25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112128.89</v>
      </c>
      <c r="E37" s="1"/>
      <c r="F37" s="5">
        <f t="shared" ref="F37:F47" si="20">IF(D$12=0,0,D37/D$12)</f>
        <v>0.38790922744274098</v>
      </c>
      <c r="G37" s="1"/>
      <c r="H37" s="1">
        <f>SUM(OSRRefH22_1x_0)</f>
        <v>89266.369230769225</v>
      </c>
      <c r="I37" s="1"/>
      <c r="J37" s="5">
        <f t="shared" ref="J37:J47" si="21">IF(H$12=0,0,H37/H$12)</f>
        <v>0.59038603988603988</v>
      </c>
      <c r="K37" s="1"/>
      <c r="L37" s="1">
        <f t="shared" ref="L37:L47" si="22">+D37-H37</f>
        <v>22862.520769230774</v>
      </c>
      <c r="M37" s="1"/>
      <c r="N37" s="5">
        <f t="shared" ref="N37:N47" si="23">IF(H37=0,0,L37/H37)</f>
        <v>0.25611572383018233</v>
      </c>
      <c r="O37" s="14"/>
      <c r="P37" s="1">
        <f>SUM(OSRRefP22_1x_0)</f>
        <v>233439.25000000003</v>
      </c>
      <c r="Q37" s="1"/>
      <c r="R37" s="5">
        <f t="shared" ref="R37:R47" si="24">IF(P$12=0,0,P37/P$12)</f>
        <v>0.47334382760626154</v>
      </c>
      <c r="S37" s="1"/>
      <c r="T37" s="1">
        <f>SUM(OSRRefT22_1x_0)</f>
        <v>248424.62923076921</v>
      </c>
      <c r="U37" s="1"/>
      <c r="V37" s="5">
        <f t="shared" ref="V37:V47" si="25">IF(T$12=0,0,T37/T$12)</f>
        <v>0.82151001729751716</v>
      </c>
      <c r="W37" s="1"/>
      <c r="X37" s="1">
        <f t="shared" ref="X37:X47" si="26">+P37-T37</f>
        <v>-14985.379230769177</v>
      </c>
      <c r="Y37" s="1"/>
      <c r="Z37" s="5">
        <f t="shared" ref="Z37:Z47" si="27">IF(T37=0,0,X37/T37)</f>
        <v>-6.0321632670522381E-2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7">
        <v>6374.71</v>
      </c>
      <c r="E39" s="2"/>
      <c r="F39" s="6">
        <f t="shared" si="20"/>
        <v>2.2053271295841021E-2</v>
      </c>
      <c r="G39" s="2"/>
      <c r="H39" s="7">
        <v>5585.7692307692296</v>
      </c>
      <c r="I39" s="2"/>
      <c r="J39" s="6">
        <f t="shared" si="21"/>
        <v>3.6942918192918187E-2</v>
      </c>
      <c r="K39" s="2"/>
      <c r="L39" s="7">
        <f t="shared" si="22"/>
        <v>788.94076923077046</v>
      </c>
      <c r="M39" s="2"/>
      <c r="N39" s="6">
        <f t="shared" si="23"/>
        <v>0.14124120360807021</v>
      </c>
      <c r="O39" s="11"/>
      <c r="P39" s="7">
        <v>24930.46</v>
      </c>
      <c r="Q39" s="2"/>
      <c r="R39" s="6">
        <f t="shared" si="24"/>
        <v>5.0551393394147714E-2</v>
      </c>
      <c r="S39" s="2"/>
      <c r="T39" s="7">
        <v>20108.769230769201</v>
      </c>
      <c r="U39" s="2"/>
      <c r="V39" s="6">
        <f t="shared" si="25"/>
        <v>6.6497252747252655E-2</v>
      </c>
      <c r="W39" s="2"/>
      <c r="X39" s="7">
        <f t="shared" si="26"/>
        <v>4821.6907692307977</v>
      </c>
      <c r="Y39" s="2"/>
      <c r="Z39" s="6">
        <f t="shared" si="27"/>
        <v>0.23978050142685725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7">
        <v>45034.81</v>
      </c>
      <c r="E41" s="2"/>
      <c r="F41" s="6">
        <f t="shared" si="20"/>
        <v>0.15579765709917065</v>
      </c>
      <c r="G41" s="2"/>
      <c r="H41" s="7">
        <v>34113.599999999999</v>
      </c>
      <c r="I41" s="2"/>
      <c r="J41" s="6">
        <f t="shared" si="21"/>
        <v>0.22561904761904761</v>
      </c>
      <c r="K41" s="2"/>
      <c r="L41" s="7">
        <f t="shared" si="22"/>
        <v>10921.21</v>
      </c>
      <c r="M41" s="2"/>
      <c r="N41" s="6">
        <f t="shared" si="23"/>
        <v>0.32014240654753529</v>
      </c>
      <c r="O41" s="11"/>
      <c r="P41" s="7">
        <v>107716.27</v>
      </c>
      <c r="Q41" s="2"/>
      <c r="R41" s="6">
        <f t="shared" si="24"/>
        <v>0.21841584710912804</v>
      </c>
      <c r="S41" s="2"/>
      <c r="T41" s="7">
        <v>122808.96000000001</v>
      </c>
      <c r="U41" s="2"/>
      <c r="V41" s="6">
        <f t="shared" si="25"/>
        <v>0.40611428571428576</v>
      </c>
      <c r="W41" s="2"/>
      <c r="X41" s="7">
        <f t="shared" si="26"/>
        <v>-15092.690000000002</v>
      </c>
      <c r="Y41" s="2"/>
      <c r="Z41" s="6">
        <f t="shared" si="27"/>
        <v>-0.12289567471298513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7">
        <v>38422.629999999997</v>
      </c>
      <c r="E42" s="2"/>
      <c r="F42" s="6">
        <f t="shared" si="20"/>
        <v>0.13292285975200754</v>
      </c>
      <c r="G42" s="2"/>
      <c r="H42" s="7">
        <v>10864</v>
      </c>
      <c r="I42" s="2"/>
      <c r="J42" s="6">
        <f t="shared" si="21"/>
        <v>7.1851851851851847E-2</v>
      </c>
      <c r="K42" s="2"/>
      <c r="L42" s="7">
        <f t="shared" si="22"/>
        <v>27558.629999999997</v>
      </c>
      <c r="M42" s="2"/>
      <c r="N42" s="6">
        <f t="shared" si="23"/>
        <v>2.536692746686303</v>
      </c>
      <c r="O42" s="11"/>
      <c r="P42" s="7">
        <v>50335.56</v>
      </c>
      <c r="Q42" s="2"/>
      <c r="R42" s="6">
        <f t="shared" si="24"/>
        <v>0.10206521240581706</v>
      </c>
      <c r="S42" s="2"/>
      <c r="T42" s="7">
        <v>23280</v>
      </c>
      <c r="U42" s="2"/>
      <c r="V42" s="6">
        <f t="shared" si="25"/>
        <v>7.6984126984126988E-2</v>
      </c>
      <c r="W42" s="2"/>
      <c r="X42" s="7">
        <f t="shared" si="26"/>
        <v>27055.559999999998</v>
      </c>
      <c r="Y42" s="2"/>
      <c r="Z42" s="6">
        <f t="shared" si="27"/>
        <v>1.1621804123711339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7">
        <v>17484.52</v>
      </c>
      <c r="E44" s="2"/>
      <c r="F44" s="6">
        <f t="shared" si="20"/>
        <v>6.0487592853252663E-2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17484.52</v>
      </c>
      <c r="M44" s="2"/>
      <c r="N44" s="6">
        <f t="shared" si="23"/>
        <v>0</v>
      </c>
      <c r="O44" s="11"/>
      <c r="P44" s="7">
        <v>44586.76</v>
      </c>
      <c r="Q44" s="2"/>
      <c r="R44" s="6">
        <f t="shared" si="24"/>
        <v>9.0408393785371383E-2</v>
      </c>
      <c r="S44" s="2"/>
      <c r="T44" s="7">
        <v>12561.5</v>
      </c>
      <c r="U44" s="2"/>
      <c r="V44" s="6">
        <f t="shared" si="25"/>
        <v>4.1539351851851855E-2</v>
      </c>
      <c r="W44" s="2"/>
      <c r="X44" s="7">
        <f t="shared" si="26"/>
        <v>32025.260000000002</v>
      </c>
      <c r="Y44" s="2"/>
      <c r="Z44" s="6">
        <f t="shared" si="27"/>
        <v>2.5494773713330416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>
        <v>4812.22</v>
      </c>
      <c r="E45" s="2"/>
      <c r="F45" s="6">
        <f t="shared" si="20"/>
        <v>1.6647846442469083E-2</v>
      </c>
      <c r="G45" s="2"/>
      <c r="H45" s="7">
        <v>38703</v>
      </c>
      <c r="I45" s="2"/>
      <c r="J45" s="6">
        <f t="shared" si="21"/>
        <v>0.25597222222222221</v>
      </c>
      <c r="K45" s="2"/>
      <c r="L45" s="7">
        <f t="shared" si="22"/>
        <v>-33890.78</v>
      </c>
      <c r="M45" s="2"/>
      <c r="N45" s="6">
        <f t="shared" si="23"/>
        <v>-0.87566286851148489</v>
      </c>
      <c r="O45" s="11"/>
      <c r="P45" s="7">
        <v>5870.2</v>
      </c>
      <c r="Q45" s="2"/>
      <c r="R45" s="6">
        <f t="shared" si="24"/>
        <v>1.1902980911797293E-2</v>
      </c>
      <c r="S45" s="2"/>
      <c r="T45" s="7">
        <v>69665.399999999994</v>
      </c>
      <c r="U45" s="2"/>
      <c r="V45" s="6">
        <f t="shared" si="25"/>
        <v>0.23037499999999997</v>
      </c>
      <c r="W45" s="2"/>
      <c r="X45" s="7">
        <f t="shared" si="26"/>
        <v>-63795.199999999997</v>
      </c>
      <c r="Y45" s="2"/>
      <c r="Z45" s="6">
        <f t="shared" si="27"/>
        <v>-0.91573722393038726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25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69" si="28">IF(D$12=0,0,D48/D$12)</f>
        <v>0</v>
      </c>
      <c r="G48" s="1"/>
      <c r="H48" s="1">
        <f>SUM(OSRRefH22_2x_0)</f>
        <v>350</v>
      </c>
      <c r="I48" s="1"/>
      <c r="J48" s="5">
        <f t="shared" ref="J48:J69" si="29">IF(H$12=0,0,H48/H$12)</f>
        <v>2.3148148148148147E-3</v>
      </c>
      <c r="K48" s="1"/>
      <c r="L48" s="1">
        <f t="shared" ref="L48:L69" si="30">+D48-H48</f>
        <v>-350</v>
      </c>
      <c r="M48" s="1"/>
      <c r="N48" s="5">
        <f t="shared" ref="N48:N69" si="31">IF(H48=0,0,L48/H48)</f>
        <v>-1</v>
      </c>
      <c r="O48" s="14"/>
      <c r="P48" s="1">
        <f>SUM(OSRRefP22_2x_0)</f>
        <v>855.27</v>
      </c>
      <c r="Q48" s="1"/>
      <c r="R48" s="5">
        <f t="shared" ref="R48:R69" si="32">IF(P$12=0,0,P48/P$12)</f>
        <v>1.7342275364438811E-3</v>
      </c>
      <c r="S48" s="1"/>
      <c r="T48" s="1">
        <f>SUM(OSRRefT22_2x_0)</f>
        <v>1400</v>
      </c>
      <c r="U48" s="1"/>
      <c r="V48" s="5">
        <f t="shared" ref="V48:V69" si="33">IF(T$12=0,0,T48/T$12)</f>
        <v>4.6296296296296294E-3</v>
      </c>
      <c r="W48" s="1"/>
      <c r="X48" s="1">
        <f t="shared" ref="X48:X69" si="34">+P48-T48</f>
        <v>-544.73</v>
      </c>
      <c r="Y48" s="1"/>
      <c r="Z48" s="5">
        <f t="shared" ref="Z48:Z69" si="35">IF(T48=0,0,X48/T48)</f>
        <v>-0.38909285714285713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8"/>
        <v>0</v>
      </c>
      <c r="G49" s="2"/>
      <c r="H49" s="7">
        <v>350</v>
      </c>
      <c r="I49" s="2"/>
      <c r="J49" s="6">
        <f t="shared" si="29"/>
        <v>2.3148148148148147E-3</v>
      </c>
      <c r="K49" s="2"/>
      <c r="L49" s="7">
        <f t="shared" si="30"/>
        <v>-350</v>
      </c>
      <c r="M49" s="2"/>
      <c r="N49" s="6">
        <f t="shared" si="31"/>
        <v>-1</v>
      </c>
      <c r="O49" s="11"/>
      <c r="P49" s="7">
        <v>855.27</v>
      </c>
      <c r="Q49" s="2"/>
      <c r="R49" s="6">
        <f t="shared" si="32"/>
        <v>1.7342275364438811E-3</v>
      </c>
      <c r="S49" s="2"/>
      <c r="T49" s="7">
        <v>1400</v>
      </c>
      <c r="U49" s="2"/>
      <c r="V49" s="6">
        <f t="shared" si="33"/>
        <v>4.6296296296296294E-3</v>
      </c>
      <c r="W49" s="2"/>
      <c r="X49" s="7">
        <f t="shared" si="34"/>
        <v>-544.73</v>
      </c>
      <c r="Y49" s="2"/>
      <c r="Z49" s="6">
        <f t="shared" si="35"/>
        <v>-0.38909285714285713</v>
      </c>
    </row>
    <row r="50" spans="1:26" s="28" customFormat="1" outlineLevel="1" collapsed="1" x14ac:dyDescent="0.25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10</v>
      </c>
      <c r="I50" s="1"/>
      <c r="J50" s="5">
        <f t="shared" si="29"/>
        <v>6.6137566137566142E-5</v>
      </c>
      <c r="K50" s="1"/>
      <c r="L50" s="1">
        <f t="shared" si="30"/>
        <v>-10</v>
      </c>
      <c r="M50" s="1"/>
      <c r="N50" s="5">
        <f t="shared" si="31"/>
        <v>-1</v>
      </c>
      <c r="O50" s="14"/>
      <c r="P50" s="1">
        <f>SUM(OSRRefP22_3x_0)</f>
        <v>0</v>
      </c>
      <c r="Q50" s="1"/>
      <c r="R50" s="5">
        <f t="shared" si="32"/>
        <v>0</v>
      </c>
      <c r="S50" s="1"/>
      <c r="T50" s="1">
        <f>SUM(OSRRefT22_3x_0)</f>
        <v>30</v>
      </c>
      <c r="U50" s="1"/>
      <c r="V50" s="5">
        <f t="shared" si="33"/>
        <v>9.9206349206349206E-5</v>
      </c>
      <c r="W50" s="1"/>
      <c r="X50" s="1">
        <f t="shared" si="34"/>
        <v>-30</v>
      </c>
      <c r="Y50" s="1"/>
      <c r="Z50" s="5">
        <f t="shared" si="35"/>
        <v>-1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8"/>
        <v>0</v>
      </c>
      <c r="G51" s="2"/>
      <c r="H51" s="7">
        <v>10</v>
      </c>
      <c r="I51" s="2"/>
      <c r="J51" s="6">
        <f t="shared" si="29"/>
        <v>6.6137566137566142E-5</v>
      </c>
      <c r="K51" s="2"/>
      <c r="L51" s="7">
        <f t="shared" si="30"/>
        <v>-10</v>
      </c>
      <c r="M51" s="2"/>
      <c r="N51" s="6">
        <f t="shared" si="31"/>
        <v>-1</v>
      </c>
      <c r="O51" s="11"/>
      <c r="P51" s="7"/>
      <c r="Q51" s="2"/>
      <c r="R51" s="6">
        <f t="shared" si="32"/>
        <v>0</v>
      </c>
      <c r="S51" s="2"/>
      <c r="T51" s="7">
        <v>30</v>
      </c>
      <c r="U51" s="2"/>
      <c r="V51" s="6">
        <f t="shared" si="33"/>
        <v>9.9206349206349206E-5</v>
      </c>
      <c r="W51" s="2"/>
      <c r="X51" s="7">
        <f t="shared" si="34"/>
        <v>-30</v>
      </c>
      <c r="Y51" s="2"/>
      <c r="Z51" s="6">
        <f t="shared" si="35"/>
        <v>-1</v>
      </c>
    </row>
    <row r="52" spans="1:26" s="28" customFormat="1" outlineLevel="1" collapsed="1" x14ac:dyDescent="0.25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51.4</v>
      </c>
      <c r="E52" s="1"/>
      <c r="F52" s="5">
        <f t="shared" si="28"/>
        <v>1.7781799401168501E-4</v>
      </c>
      <c r="G52" s="1"/>
      <c r="H52" s="1">
        <f>SUM(OSRRefH22_4x_0)</f>
        <v>25</v>
      </c>
      <c r="I52" s="1"/>
      <c r="J52" s="5">
        <f t="shared" si="29"/>
        <v>1.6534391534391533E-4</v>
      </c>
      <c r="K52" s="1"/>
      <c r="L52" s="1">
        <f t="shared" si="30"/>
        <v>26.4</v>
      </c>
      <c r="M52" s="1"/>
      <c r="N52" s="5">
        <f t="shared" si="31"/>
        <v>1.056</v>
      </c>
      <c r="O52" s="14"/>
      <c r="P52" s="1">
        <f>SUM(OSRRefP22_4x_0)</f>
        <v>146.1</v>
      </c>
      <c r="Q52" s="1"/>
      <c r="R52" s="5">
        <f t="shared" si="32"/>
        <v>2.962463819313796E-4</v>
      </c>
      <c r="S52" s="1"/>
      <c r="T52" s="1">
        <f>SUM(OSRRefT22_4x_0)</f>
        <v>75</v>
      </c>
      <c r="U52" s="1"/>
      <c r="V52" s="5">
        <f t="shared" si="33"/>
        <v>2.48015873015873E-4</v>
      </c>
      <c r="W52" s="1"/>
      <c r="X52" s="1">
        <f t="shared" si="34"/>
        <v>71.099999999999994</v>
      </c>
      <c r="Y52" s="1"/>
      <c r="Z52" s="5">
        <f t="shared" si="35"/>
        <v>0.94799999999999995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7">
        <v>51.4</v>
      </c>
      <c r="E53" s="2"/>
      <c r="F53" s="6">
        <f t="shared" si="28"/>
        <v>1.7781799401168501E-4</v>
      </c>
      <c r="G53" s="2"/>
      <c r="H53" s="7">
        <v>25</v>
      </c>
      <c r="I53" s="2"/>
      <c r="J53" s="6">
        <f t="shared" si="29"/>
        <v>1.6534391534391533E-4</v>
      </c>
      <c r="K53" s="2"/>
      <c r="L53" s="7">
        <f t="shared" si="30"/>
        <v>26.4</v>
      </c>
      <c r="M53" s="2"/>
      <c r="N53" s="6">
        <f t="shared" si="31"/>
        <v>1.056</v>
      </c>
      <c r="O53" s="11"/>
      <c r="P53" s="7">
        <v>146.1</v>
      </c>
      <c r="Q53" s="2"/>
      <c r="R53" s="6">
        <f t="shared" si="32"/>
        <v>2.962463819313796E-4</v>
      </c>
      <c r="S53" s="2"/>
      <c r="T53" s="7">
        <v>75</v>
      </c>
      <c r="U53" s="2"/>
      <c r="V53" s="6">
        <f t="shared" si="33"/>
        <v>2.48015873015873E-4</v>
      </c>
      <c r="W53" s="2"/>
      <c r="X53" s="7">
        <f t="shared" si="34"/>
        <v>71.099999999999994</v>
      </c>
      <c r="Y53" s="2"/>
      <c r="Z53" s="6">
        <f t="shared" si="35"/>
        <v>0.94799999999999995</v>
      </c>
    </row>
    <row r="54" spans="1:26" s="28" customFormat="1" outlineLevel="1" collapsed="1" x14ac:dyDescent="0.25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213.02</v>
      </c>
      <c r="E54" s="1"/>
      <c r="F54" s="5">
        <f t="shared" si="28"/>
        <v>7.3694142187488601E-4</v>
      </c>
      <c r="G54" s="1"/>
      <c r="H54" s="1">
        <f>SUM(OSRRefH22_5x_0)</f>
        <v>213</v>
      </c>
      <c r="I54" s="1"/>
      <c r="J54" s="5">
        <f t="shared" si="29"/>
        <v>1.4087301587301588E-3</v>
      </c>
      <c r="K54" s="1"/>
      <c r="L54" s="1">
        <f t="shared" si="30"/>
        <v>2.0000000000010232E-2</v>
      </c>
      <c r="M54" s="1"/>
      <c r="N54" s="5">
        <f t="shared" si="31"/>
        <v>9.3896713615071505E-5</v>
      </c>
      <c r="O54" s="14"/>
      <c r="P54" s="1">
        <f>SUM(OSRRefP22_5x_0)</f>
        <v>852.08</v>
      </c>
      <c r="Q54" s="1"/>
      <c r="R54" s="5">
        <f t="shared" si="32"/>
        <v>1.7277591862839832E-3</v>
      </c>
      <c r="S54" s="1"/>
      <c r="T54" s="1">
        <f>SUM(OSRRefT22_5x_0)</f>
        <v>852</v>
      </c>
      <c r="U54" s="1"/>
      <c r="V54" s="5">
        <f t="shared" si="33"/>
        <v>2.8174603174603175E-3</v>
      </c>
      <c r="W54" s="1"/>
      <c r="X54" s="1">
        <f t="shared" si="34"/>
        <v>8.0000000000040927E-2</v>
      </c>
      <c r="Y54" s="1"/>
      <c r="Z54" s="5">
        <f t="shared" si="35"/>
        <v>9.3896713615071505E-5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213.02</v>
      </c>
      <c r="E55" s="2"/>
      <c r="F55" s="6">
        <f t="shared" si="28"/>
        <v>7.3694142187488601E-4</v>
      </c>
      <c r="G55" s="2"/>
      <c r="H55" s="7">
        <v>213</v>
      </c>
      <c r="I55" s="2"/>
      <c r="J55" s="6">
        <f t="shared" si="29"/>
        <v>1.4087301587301588E-3</v>
      </c>
      <c r="K55" s="2"/>
      <c r="L55" s="7">
        <f t="shared" si="30"/>
        <v>2.0000000000010232E-2</v>
      </c>
      <c r="M55" s="2"/>
      <c r="N55" s="6">
        <f t="shared" si="31"/>
        <v>9.3896713615071505E-5</v>
      </c>
      <c r="O55" s="11"/>
      <c r="P55" s="7">
        <v>852.08</v>
      </c>
      <c r="Q55" s="2"/>
      <c r="R55" s="6">
        <f t="shared" si="32"/>
        <v>1.7277591862839832E-3</v>
      </c>
      <c r="S55" s="2"/>
      <c r="T55" s="7">
        <v>852</v>
      </c>
      <c r="U55" s="2"/>
      <c r="V55" s="6">
        <f t="shared" si="33"/>
        <v>2.8174603174603175E-3</v>
      </c>
      <c r="W55" s="2"/>
      <c r="X55" s="7">
        <f t="shared" si="34"/>
        <v>8.0000000000040927E-2</v>
      </c>
      <c r="Y55" s="2"/>
      <c r="Z55" s="6">
        <f t="shared" si="35"/>
        <v>9.3896713615071505E-5</v>
      </c>
    </row>
    <row r="56" spans="1:26" s="28" customFormat="1" outlineLevel="1" collapsed="1" x14ac:dyDescent="0.25">
      <c r="A56" s="29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1738.52</v>
      </c>
      <c r="E56" s="1"/>
      <c r="F56" s="5">
        <f t="shared" si="28"/>
        <v>6.0143995904512566E-3</v>
      </c>
      <c r="G56" s="1"/>
      <c r="H56" s="1">
        <f>SUM(OSRRefH22_6x_0)</f>
        <v>3000</v>
      </c>
      <c r="I56" s="1"/>
      <c r="J56" s="5">
        <f t="shared" si="29"/>
        <v>1.984126984126984E-2</v>
      </c>
      <c r="K56" s="1"/>
      <c r="L56" s="1">
        <f t="shared" si="30"/>
        <v>-1261.48</v>
      </c>
      <c r="M56" s="1"/>
      <c r="N56" s="5">
        <f t="shared" si="31"/>
        <v>-0.42049333333333333</v>
      </c>
      <c r="O56" s="14"/>
      <c r="P56" s="1">
        <f>SUM(OSRRefP22_6x_0)</f>
        <v>4255.25</v>
      </c>
      <c r="Q56" s="1"/>
      <c r="R56" s="5">
        <f t="shared" si="32"/>
        <v>8.6283532971492341E-3</v>
      </c>
      <c r="S56" s="1"/>
      <c r="T56" s="1">
        <f>SUM(OSRRefT22_6x_0)</f>
        <v>9000</v>
      </c>
      <c r="U56" s="1"/>
      <c r="V56" s="5">
        <f t="shared" si="33"/>
        <v>2.976190476190476E-2</v>
      </c>
      <c r="W56" s="1"/>
      <c r="X56" s="1">
        <f t="shared" si="34"/>
        <v>-4744.75</v>
      </c>
      <c r="Y56" s="1"/>
      <c r="Z56" s="5">
        <f t="shared" si="35"/>
        <v>-0.52719444444444441</v>
      </c>
    </row>
    <row r="57" spans="1:26" s="24" customFormat="1" hidden="1" outlineLevel="2" x14ac:dyDescent="0.25">
      <c r="A57" s="27"/>
      <c r="B57" s="11" t="str">
        <f>CONCATENATE("          ", "6399", " - ", "DONATION-ON CAMPUS")</f>
        <v xml:space="preserve">          6399 - DONATION-ON CAMPUS</v>
      </c>
      <c r="C57" s="11"/>
      <c r="D57" s="7">
        <v>1738.52</v>
      </c>
      <c r="E57" s="2"/>
      <c r="F57" s="6">
        <f t="shared" si="28"/>
        <v>6.0143995904512566E-3</v>
      </c>
      <c r="G57" s="2"/>
      <c r="H57" s="7">
        <v>3000</v>
      </c>
      <c r="I57" s="2"/>
      <c r="J57" s="6">
        <f t="shared" si="29"/>
        <v>1.984126984126984E-2</v>
      </c>
      <c r="K57" s="2"/>
      <c r="L57" s="7">
        <f t="shared" si="30"/>
        <v>-1261.48</v>
      </c>
      <c r="M57" s="2"/>
      <c r="N57" s="6">
        <f t="shared" si="31"/>
        <v>-0.42049333333333333</v>
      </c>
      <c r="O57" s="11"/>
      <c r="P57" s="7">
        <v>4255.25</v>
      </c>
      <c r="Q57" s="2"/>
      <c r="R57" s="6">
        <f t="shared" si="32"/>
        <v>8.6283532971492341E-3</v>
      </c>
      <c r="S57" s="2"/>
      <c r="T57" s="7">
        <v>9000</v>
      </c>
      <c r="U57" s="2"/>
      <c r="V57" s="6">
        <f t="shared" si="33"/>
        <v>2.976190476190476E-2</v>
      </c>
      <c r="W57" s="2"/>
      <c r="X57" s="7">
        <f t="shared" si="34"/>
        <v>-4744.75</v>
      </c>
      <c r="Y57" s="2"/>
      <c r="Z57" s="6">
        <f t="shared" si="35"/>
        <v>-0.52719444444444441</v>
      </c>
    </row>
    <row r="58" spans="1:26" s="28" customFormat="1" outlineLevel="1" collapsed="1" x14ac:dyDescent="0.25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50</v>
      </c>
      <c r="I58" s="1"/>
      <c r="J58" s="5">
        <f t="shared" si="29"/>
        <v>3.3068783068783067E-4</v>
      </c>
      <c r="K58" s="1"/>
      <c r="L58" s="1">
        <f t="shared" si="30"/>
        <v>-50</v>
      </c>
      <c r="M58" s="1"/>
      <c r="N58" s="5">
        <f t="shared" si="31"/>
        <v>-1</v>
      </c>
      <c r="O58" s="14"/>
      <c r="P58" s="1">
        <f>SUM(OSRRefP22_7x_0)</f>
        <v>14.49</v>
      </c>
      <c r="Q58" s="1"/>
      <c r="R58" s="5">
        <f t="shared" si="32"/>
        <v>2.93813146761512E-5</v>
      </c>
      <c r="S58" s="1"/>
      <c r="T58" s="1">
        <f>SUM(OSRRefT22_7x_0)</f>
        <v>200</v>
      </c>
      <c r="U58" s="1"/>
      <c r="V58" s="5">
        <f t="shared" si="33"/>
        <v>6.6137566137566134E-4</v>
      </c>
      <c r="W58" s="1"/>
      <c r="X58" s="1">
        <f t="shared" si="34"/>
        <v>-185.51</v>
      </c>
      <c r="Y58" s="1"/>
      <c r="Z58" s="5">
        <f t="shared" si="35"/>
        <v>-0.92754999999999999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50</v>
      </c>
      <c r="I59" s="2"/>
      <c r="J59" s="6">
        <f t="shared" si="29"/>
        <v>3.3068783068783067E-4</v>
      </c>
      <c r="K59" s="2"/>
      <c r="L59" s="7">
        <f t="shared" si="30"/>
        <v>-50</v>
      </c>
      <c r="M59" s="2"/>
      <c r="N59" s="6">
        <f t="shared" si="31"/>
        <v>-1</v>
      </c>
      <c r="O59" s="11"/>
      <c r="P59" s="7">
        <v>14.49</v>
      </c>
      <c r="Q59" s="2"/>
      <c r="R59" s="6">
        <f t="shared" si="32"/>
        <v>2.93813146761512E-5</v>
      </c>
      <c r="S59" s="2"/>
      <c r="T59" s="7">
        <v>200</v>
      </c>
      <c r="U59" s="2"/>
      <c r="V59" s="6">
        <f t="shared" si="33"/>
        <v>6.6137566137566134E-4</v>
      </c>
      <c r="W59" s="2"/>
      <c r="X59" s="7">
        <f t="shared" si="34"/>
        <v>-185.51</v>
      </c>
      <c r="Y59" s="2"/>
      <c r="Z59" s="6">
        <f t="shared" si="35"/>
        <v>-0.92754999999999999</v>
      </c>
    </row>
    <row r="60" spans="1:26" s="28" customFormat="1" outlineLevel="1" collapsed="1" x14ac:dyDescent="0.25">
      <c r="A60" s="29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SUM(OSRRefD22_8x_0)</f>
        <v>297.61</v>
      </c>
      <c r="E60" s="1"/>
      <c r="F60" s="5">
        <f t="shared" si="28"/>
        <v>1.0295800233038439E-3</v>
      </c>
      <c r="G60" s="1"/>
      <c r="H60" s="1">
        <f>SUM(OSRRefH22_8x_0)</f>
        <v>0</v>
      </c>
      <c r="I60" s="1"/>
      <c r="J60" s="5">
        <f t="shared" si="29"/>
        <v>0</v>
      </c>
      <c r="K60" s="1"/>
      <c r="L60" s="1">
        <f t="shared" si="30"/>
        <v>297.61</v>
      </c>
      <c r="M60" s="1"/>
      <c r="N60" s="5">
        <f t="shared" si="31"/>
        <v>0</v>
      </c>
      <c r="O60" s="14"/>
      <c r="P60" s="1">
        <f>SUM(OSRRefP22_8x_0)</f>
        <v>1767.16</v>
      </c>
      <c r="Q60" s="1"/>
      <c r="R60" s="5">
        <f t="shared" si="32"/>
        <v>3.5832632189860148E-3</v>
      </c>
      <c r="S60" s="1"/>
      <c r="T60" s="1">
        <f>SUM(OSRRefT22_8x_0)</f>
        <v>1700</v>
      </c>
      <c r="U60" s="1"/>
      <c r="V60" s="5">
        <f t="shared" si="33"/>
        <v>5.6216931216931214E-3</v>
      </c>
      <c r="W60" s="1"/>
      <c r="X60" s="1">
        <f t="shared" si="34"/>
        <v>67.160000000000082</v>
      </c>
      <c r="Y60" s="1"/>
      <c r="Z60" s="5">
        <f t="shared" si="35"/>
        <v>3.9505882352941224E-2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7">
        <v>297.61</v>
      </c>
      <c r="E61" s="2"/>
      <c r="F61" s="6">
        <f t="shared" si="28"/>
        <v>1.0295800233038439E-3</v>
      </c>
      <c r="G61" s="2"/>
      <c r="H61" s="7"/>
      <c r="I61" s="2"/>
      <c r="J61" s="6">
        <f t="shared" si="29"/>
        <v>0</v>
      </c>
      <c r="K61" s="2"/>
      <c r="L61" s="7">
        <f t="shared" si="30"/>
        <v>297.61</v>
      </c>
      <c r="M61" s="2"/>
      <c r="N61" s="6">
        <f t="shared" si="31"/>
        <v>0</v>
      </c>
      <c r="O61" s="11"/>
      <c r="P61" s="7">
        <v>1767.16</v>
      </c>
      <c r="Q61" s="2"/>
      <c r="R61" s="6">
        <f t="shared" si="32"/>
        <v>3.5832632189860148E-3</v>
      </c>
      <c r="S61" s="2"/>
      <c r="T61" s="7">
        <v>1700</v>
      </c>
      <c r="U61" s="2"/>
      <c r="V61" s="6">
        <f t="shared" si="33"/>
        <v>5.6216931216931214E-3</v>
      </c>
      <c r="W61" s="2"/>
      <c r="X61" s="7">
        <f t="shared" si="34"/>
        <v>67.160000000000082</v>
      </c>
      <c r="Y61" s="2"/>
      <c r="Z61" s="6">
        <f t="shared" si="35"/>
        <v>3.9505882352941224E-2</v>
      </c>
    </row>
    <row r="62" spans="1:26" s="28" customFormat="1" outlineLevel="1" collapsed="1" x14ac:dyDescent="0.25">
      <c r="A62" s="29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SUM(OSRRefD22_9x_0)</f>
        <v>5.21</v>
      </c>
      <c r="E62" s="1"/>
      <c r="F62" s="5">
        <f t="shared" si="28"/>
        <v>1.8023963984452897E-5</v>
      </c>
      <c r="G62" s="1"/>
      <c r="H62" s="1">
        <f>SUM(OSRRefH22_9x_0)</f>
        <v>10</v>
      </c>
      <c r="I62" s="1"/>
      <c r="J62" s="5">
        <f t="shared" si="29"/>
        <v>6.6137566137566142E-5</v>
      </c>
      <c r="K62" s="1"/>
      <c r="L62" s="1">
        <f t="shared" si="30"/>
        <v>-4.79</v>
      </c>
      <c r="M62" s="1"/>
      <c r="N62" s="5">
        <f t="shared" si="31"/>
        <v>-0.47899999999999998</v>
      </c>
      <c r="O62" s="14"/>
      <c r="P62" s="1">
        <f>SUM(OSRRefP22_9x_0)</f>
        <v>20.85</v>
      </c>
      <c r="Q62" s="1"/>
      <c r="R62" s="5">
        <f t="shared" si="32"/>
        <v>4.227746107644945E-5</v>
      </c>
      <c r="S62" s="1"/>
      <c r="T62" s="1">
        <f>SUM(OSRRefT22_9x_0)</f>
        <v>40</v>
      </c>
      <c r="U62" s="1"/>
      <c r="V62" s="5">
        <f t="shared" si="33"/>
        <v>1.3227513227513228E-4</v>
      </c>
      <c r="W62" s="1"/>
      <c r="X62" s="1">
        <f t="shared" si="34"/>
        <v>-19.149999999999999</v>
      </c>
      <c r="Y62" s="1"/>
      <c r="Z62" s="5">
        <f t="shared" si="35"/>
        <v>-0.47874999999999995</v>
      </c>
    </row>
    <row r="63" spans="1:26" s="24" customFormat="1" hidden="1" outlineLevel="2" x14ac:dyDescent="0.25">
      <c r="A63" s="27"/>
      <c r="B63" s="11" t="str">
        <f>CONCATENATE("          ", "6314", " - ", "LIABILITY INSURANCE")</f>
        <v xml:space="preserve">          6314 - LIABILITY INSURANCE</v>
      </c>
      <c r="C63" s="11"/>
      <c r="D63" s="7">
        <v>5.21</v>
      </c>
      <c r="E63" s="2"/>
      <c r="F63" s="6">
        <f t="shared" si="28"/>
        <v>1.8023963984452897E-5</v>
      </c>
      <c r="G63" s="2"/>
      <c r="H63" s="7">
        <v>10</v>
      </c>
      <c r="I63" s="2"/>
      <c r="J63" s="6">
        <f t="shared" si="29"/>
        <v>6.6137566137566142E-5</v>
      </c>
      <c r="K63" s="2"/>
      <c r="L63" s="7">
        <f t="shared" si="30"/>
        <v>-4.79</v>
      </c>
      <c r="M63" s="2"/>
      <c r="N63" s="6">
        <f t="shared" si="31"/>
        <v>-0.47899999999999998</v>
      </c>
      <c r="O63" s="11"/>
      <c r="P63" s="7">
        <v>20.85</v>
      </c>
      <c r="Q63" s="2"/>
      <c r="R63" s="6">
        <f t="shared" si="32"/>
        <v>4.227746107644945E-5</v>
      </c>
      <c r="S63" s="2"/>
      <c r="T63" s="7">
        <v>40</v>
      </c>
      <c r="U63" s="2"/>
      <c r="V63" s="6">
        <f t="shared" si="33"/>
        <v>1.3227513227513228E-4</v>
      </c>
      <c r="W63" s="2"/>
      <c r="X63" s="7">
        <f t="shared" si="34"/>
        <v>-19.149999999999999</v>
      </c>
      <c r="Y63" s="2"/>
      <c r="Z63" s="6">
        <f t="shared" si="35"/>
        <v>-0.47874999999999995</v>
      </c>
    </row>
    <row r="64" spans="1:26" s="28" customFormat="1" outlineLevel="1" collapsed="1" x14ac:dyDescent="0.25">
      <c r="A64" s="29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22985.68</v>
      </c>
      <c r="E64" s="1"/>
      <c r="F64" s="5">
        <f t="shared" si="28"/>
        <v>7.9518823124406765E-2</v>
      </c>
      <c r="G64" s="1"/>
      <c r="H64" s="1">
        <f>SUM(OSRRefH22_10x_0)</f>
        <v>12096</v>
      </c>
      <c r="I64" s="1"/>
      <c r="J64" s="5">
        <f t="shared" si="29"/>
        <v>0.08</v>
      </c>
      <c r="K64" s="1"/>
      <c r="L64" s="1">
        <f t="shared" si="30"/>
        <v>10889.68</v>
      </c>
      <c r="M64" s="1"/>
      <c r="N64" s="5">
        <f t="shared" si="31"/>
        <v>0.90027116402116403</v>
      </c>
      <c r="O64" s="14"/>
      <c r="P64" s="1">
        <f>SUM(OSRRefP22_10x_0)</f>
        <v>35543.800000000003</v>
      </c>
      <c r="Q64" s="1"/>
      <c r="R64" s="5">
        <f t="shared" si="32"/>
        <v>7.2072020192283162E-2</v>
      </c>
      <c r="S64" s="1"/>
      <c r="T64" s="1">
        <f>SUM(OSRRefT22_10x_0)</f>
        <v>24192</v>
      </c>
      <c r="U64" s="1"/>
      <c r="V64" s="5">
        <f t="shared" si="33"/>
        <v>0.08</v>
      </c>
      <c r="W64" s="1"/>
      <c r="X64" s="1">
        <f t="shared" si="34"/>
        <v>11351.800000000003</v>
      </c>
      <c r="Y64" s="1"/>
      <c r="Z64" s="5">
        <f t="shared" si="35"/>
        <v>0.46923776455026467</v>
      </c>
    </row>
    <row r="65" spans="1:26" s="24" customFormat="1" hidden="1" outlineLevel="2" x14ac:dyDescent="0.25">
      <c r="A65" s="27"/>
      <c r="B65" s="11" t="str">
        <f>CONCATENATE("          ", "6387", " - ", "COMMISSION DUE HOUSING")</f>
        <v xml:space="preserve">          6387 - COMMISSION DUE HOUSING</v>
      </c>
      <c r="C65" s="11"/>
      <c r="D65" s="7">
        <v>22985.68</v>
      </c>
      <c r="E65" s="2"/>
      <c r="F65" s="6">
        <f t="shared" si="28"/>
        <v>7.9518823124406765E-2</v>
      </c>
      <c r="G65" s="2"/>
      <c r="H65" s="7">
        <v>12096</v>
      </c>
      <c r="I65" s="2"/>
      <c r="J65" s="6">
        <f t="shared" si="29"/>
        <v>0.08</v>
      </c>
      <c r="K65" s="2"/>
      <c r="L65" s="7">
        <f t="shared" si="30"/>
        <v>10889.68</v>
      </c>
      <c r="M65" s="2"/>
      <c r="N65" s="6">
        <f t="shared" si="31"/>
        <v>0.90027116402116403</v>
      </c>
      <c r="O65" s="11"/>
      <c r="P65" s="7">
        <v>35543.800000000003</v>
      </c>
      <c r="Q65" s="2"/>
      <c r="R65" s="6">
        <f t="shared" si="32"/>
        <v>7.2072020192283162E-2</v>
      </c>
      <c r="S65" s="2"/>
      <c r="T65" s="7">
        <v>24192</v>
      </c>
      <c r="U65" s="2"/>
      <c r="V65" s="6">
        <f t="shared" si="33"/>
        <v>0.08</v>
      </c>
      <c r="W65" s="2"/>
      <c r="X65" s="7">
        <f t="shared" si="34"/>
        <v>11351.800000000003</v>
      </c>
      <c r="Y65" s="2"/>
      <c r="Z65" s="6">
        <f t="shared" si="35"/>
        <v>0.46923776455026467</v>
      </c>
    </row>
    <row r="66" spans="1:26" s="28" customFormat="1" outlineLevel="1" collapsed="1" x14ac:dyDescent="0.25">
      <c r="A66" s="29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690</v>
      </c>
      <c r="E66" s="1"/>
      <c r="F66" s="5">
        <f t="shared" si="28"/>
        <v>2.38705089237476E-3</v>
      </c>
      <c r="G66" s="1"/>
      <c r="H66" s="1">
        <f>SUM(OSRRefH22_11x_0)</f>
        <v>100</v>
      </c>
      <c r="I66" s="1"/>
      <c r="J66" s="5">
        <f t="shared" si="29"/>
        <v>6.6137566137566134E-4</v>
      </c>
      <c r="K66" s="1"/>
      <c r="L66" s="1">
        <f t="shared" si="30"/>
        <v>590</v>
      </c>
      <c r="M66" s="1"/>
      <c r="N66" s="5">
        <f t="shared" si="31"/>
        <v>5.9</v>
      </c>
      <c r="O66" s="14"/>
      <c r="P66" s="1">
        <f>SUM(OSRRefP22_11x_0)</f>
        <v>761.86</v>
      </c>
      <c r="Q66" s="1"/>
      <c r="R66" s="5">
        <f t="shared" si="32"/>
        <v>1.5448204554294378E-3</v>
      </c>
      <c r="S66" s="1"/>
      <c r="T66" s="1">
        <f>SUM(OSRRefT22_11x_0)</f>
        <v>1900</v>
      </c>
      <c r="U66" s="1"/>
      <c r="V66" s="5">
        <f t="shared" si="33"/>
        <v>6.2830687830687827E-3</v>
      </c>
      <c r="W66" s="1"/>
      <c r="X66" s="1">
        <f t="shared" si="34"/>
        <v>-1138.1399999999999</v>
      </c>
      <c r="Y66" s="1"/>
      <c r="Z66" s="5">
        <f t="shared" si="35"/>
        <v>-0.5990210526315789</v>
      </c>
    </row>
    <row r="67" spans="1:26" s="24" customFormat="1" hidden="1" outlineLevel="2" x14ac:dyDescent="0.25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8"/>
        <v>0</v>
      </c>
      <c r="G67" s="2"/>
      <c r="H67" s="7"/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/>
      <c r="Q67" s="2"/>
      <c r="R67" s="6">
        <f t="shared" si="32"/>
        <v>0</v>
      </c>
      <c r="S67" s="2"/>
      <c r="T67" s="7">
        <v>0</v>
      </c>
      <c r="U67" s="2"/>
      <c r="V67" s="6">
        <f t="shared" si="33"/>
        <v>0</v>
      </c>
      <c r="W67" s="2"/>
      <c r="X67" s="7">
        <f t="shared" si="34"/>
        <v>0</v>
      </c>
      <c r="Y67" s="2"/>
      <c r="Z67" s="6">
        <f t="shared" si="35"/>
        <v>0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7"/>
      <c r="E68" s="2"/>
      <c r="F68" s="6">
        <f t="shared" si="28"/>
        <v>0</v>
      </c>
      <c r="G68" s="2"/>
      <c r="H68" s="7"/>
      <c r="I68" s="2"/>
      <c r="J68" s="6">
        <f t="shared" si="29"/>
        <v>0</v>
      </c>
      <c r="K68" s="2"/>
      <c r="L68" s="7">
        <f t="shared" si="30"/>
        <v>0</v>
      </c>
      <c r="M68" s="2"/>
      <c r="N68" s="6">
        <f t="shared" si="31"/>
        <v>0</v>
      </c>
      <c r="O68" s="11"/>
      <c r="P68" s="7">
        <v>71.86</v>
      </c>
      <c r="Q68" s="2"/>
      <c r="R68" s="6">
        <f t="shared" si="32"/>
        <v>1.457102327555711E-4</v>
      </c>
      <c r="S68" s="2"/>
      <c r="T68" s="7">
        <v>1500</v>
      </c>
      <c r="U68" s="2"/>
      <c r="V68" s="6">
        <f t="shared" si="33"/>
        <v>4.96031746031746E-3</v>
      </c>
      <c r="W68" s="2"/>
      <c r="X68" s="7">
        <f t="shared" si="34"/>
        <v>-1428.14</v>
      </c>
      <c r="Y68" s="2"/>
      <c r="Z68" s="6">
        <f t="shared" si="35"/>
        <v>-0.95209333333333335</v>
      </c>
    </row>
    <row r="69" spans="1:26" s="24" customFormat="1" hidden="1" outlineLevel="2" x14ac:dyDescent="0.25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7">
        <v>690</v>
      </c>
      <c r="E69" s="2"/>
      <c r="F69" s="6">
        <f t="shared" si="28"/>
        <v>2.38705089237476E-3</v>
      </c>
      <c r="G69" s="2"/>
      <c r="H69" s="7">
        <v>100</v>
      </c>
      <c r="I69" s="2"/>
      <c r="J69" s="6">
        <f t="shared" si="29"/>
        <v>6.6137566137566134E-4</v>
      </c>
      <c r="K69" s="2"/>
      <c r="L69" s="7">
        <f t="shared" si="30"/>
        <v>590</v>
      </c>
      <c r="M69" s="2"/>
      <c r="N69" s="6">
        <f t="shared" si="31"/>
        <v>5.9</v>
      </c>
      <c r="O69" s="11"/>
      <c r="P69" s="7">
        <v>690</v>
      </c>
      <c r="Q69" s="2"/>
      <c r="R69" s="6">
        <f t="shared" si="32"/>
        <v>1.3991102226738666E-3</v>
      </c>
      <c r="S69" s="2"/>
      <c r="T69" s="7">
        <v>400</v>
      </c>
      <c r="U69" s="2"/>
      <c r="V69" s="6">
        <f t="shared" si="33"/>
        <v>1.3227513227513227E-3</v>
      </c>
      <c r="W69" s="2"/>
      <c r="X69" s="7">
        <f t="shared" si="34"/>
        <v>290</v>
      </c>
      <c r="Y69" s="2"/>
      <c r="Z69" s="6">
        <f t="shared" si="35"/>
        <v>0.72499999999999998</v>
      </c>
    </row>
    <row r="70" spans="1:26" s="28" customFormat="1" outlineLevel="1" collapsed="1" x14ac:dyDescent="0.25">
      <c r="A70" s="29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9903.91</v>
      </c>
      <c r="E70" s="1"/>
      <c r="F70" s="5">
        <f t="shared" ref="F70:F74" si="36">IF(D$12=0,0,D70/D$12)</f>
        <v>3.4262517686230877E-2</v>
      </c>
      <c r="G70" s="1"/>
      <c r="H70" s="1">
        <f>SUM(OSRRefH22_12x_0)</f>
        <v>6972</v>
      </c>
      <c r="I70" s="1"/>
      <c r="J70" s="5">
        <f t="shared" ref="J70:J74" si="37">IF(H$12=0,0,H70/H$12)</f>
        <v>4.611111111111111E-2</v>
      </c>
      <c r="K70" s="1"/>
      <c r="L70" s="1">
        <f t="shared" ref="L70:L74" si="38">+D70-H70</f>
        <v>2931.91</v>
      </c>
      <c r="M70" s="1"/>
      <c r="N70" s="5">
        <f t="shared" ref="N70:N74" si="39">IF(H70=0,0,L70/H70)</f>
        <v>0.42052639127940333</v>
      </c>
      <c r="O70" s="14"/>
      <c r="P70" s="1">
        <f>SUM(OSRRefP22_12x_0)</f>
        <v>16126.35</v>
      </c>
      <c r="Q70" s="1"/>
      <c r="R70" s="5">
        <f t="shared" ref="R70:R74" si="40">IF(P$12=0,0,P70/P$12)</f>
        <v>3.2699334984661897E-2</v>
      </c>
      <c r="S70" s="1"/>
      <c r="T70" s="1">
        <f>SUM(OSRRefT22_12x_0)</f>
        <v>26288</v>
      </c>
      <c r="U70" s="1"/>
      <c r="V70" s="5">
        <f t="shared" ref="V70:V74" si="41">IF(T$12=0,0,T70/T$12)</f>
        <v>8.6931216931216929E-2</v>
      </c>
      <c r="W70" s="1"/>
      <c r="X70" s="1">
        <f t="shared" ref="X70:X74" si="42">+P70-T70</f>
        <v>-10161.65</v>
      </c>
      <c r="Y70" s="1"/>
      <c r="Z70" s="5">
        <f t="shared" ref="Z70:Z74" si="43">IF(T70=0,0,X70/T70)</f>
        <v>-0.38655089774802187</v>
      </c>
    </row>
    <row r="71" spans="1:26" s="24" customFormat="1" hidden="1" outlineLevel="2" x14ac:dyDescent="0.25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729.95</v>
      </c>
      <c r="E71" s="2"/>
      <c r="F71" s="6">
        <f t="shared" si="36"/>
        <v>2.5252576795492115E-3</v>
      </c>
      <c r="G71" s="2"/>
      <c r="H71" s="7">
        <v>670</v>
      </c>
      <c r="I71" s="2"/>
      <c r="J71" s="6">
        <f t="shared" si="37"/>
        <v>4.4312169312169308E-3</v>
      </c>
      <c r="K71" s="2"/>
      <c r="L71" s="7">
        <f t="shared" si="38"/>
        <v>59.950000000000045</v>
      </c>
      <c r="M71" s="2"/>
      <c r="N71" s="6">
        <f t="shared" si="39"/>
        <v>8.9477611940298574E-2</v>
      </c>
      <c r="O71" s="11"/>
      <c r="P71" s="7">
        <v>2859.49</v>
      </c>
      <c r="Q71" s="2"/>
      <c r="R71" s="6">
        <f t="shared" si="40"/>
        <v>5.7981763632372384E-3</v>
      </c>
      <c r="S71" s="2"/>
      <c r="T71" s="7">
        <v>2680</v>
      </c>
      <c r="U71" s="2"/>
      <c r="V71" s="6">
        <f t="shared" si="41"/>
        <v>8.8624338624338616E-3</v>
      </c>
      <c r="W71" s="2"/>
      <c r="X71" s="7">
        <f t="shared" si="42"/>
        <v>179.48999999999978</v>
      </c>
      <c r="Y71" s="2"/>
      <c r="Z71" s="6">
        <f t="shared" si="43"/>
        <v>6.697388059701484E-2</v>
      </c>
    </row>
    <row r="72" spans="1:26" s="24" customFormat="1" hidden="1" outlineLevel="2" x14ac:dyDescent="0.25">
      <c r="A72" s="27"/>
      <c r="B72" s="11" t="str">
        <f>CONCATENATE("          ", "6284", " - ", "TRASH REMOVAL EXPENSE")</f>
        <v xml:space="preserve">          6284 - TRASH REMOVAL EXPENSE</v>
      </c>
      <c r="C72" s="11"/>
      <c r="D72" s="7"/>
      <c r="E72" s="2"/>
      <c r="F72" s="6">
        <f t="shared" si="36"/>
        <v>0</v>
      </c>
      <c r="G72" s="2"/>
      <c r="H72" s="7">
        <v>50</v>
      </c>
      <c r="I72" s="2"/>
      <c r="J72" s="6">
        <f t="shared" si="37"/>
        <v>3.3068783068783067E-4</v>
      </c>
      <c r="K72" s="2"/>
      <c r="L72" s="7">
        <f t="shared" si="38"/>
        <v>-50</v>
      </c>
      <c r="M72" s="2"/>
      <c r="N72" s="6">
        <f t="shared" si="39"/>
        <v>-1</v>
      </c>
      <c r="O72" s="11"/>
      <c r="P72" s="7"/>
      <c r="Q72" s="2"/>
      <c r="R72" s="6">
        <f t="shared" si="40"/>
        <v>0</v>
      </c>
      <c r="S72" s="2"/>
      <c r="T72" s="7">
        <v>200</v>
      </c>
      <c r="U72" s="2"/>
      <c r="V72" s="6">
        <f t="shared" si="41"/>
        <v>6.6137566137566134E-4</v>
      </c>
      <c r="W72" s="2"/>
      <c r="X72" s="7">
        <f t="shared" si="42"/>
        <v>-200</v>
      </c>
      <c r="Y72" s="2"/>
      <c r="Z72" s="6">
        <f t="shared" si="43"/>
        <v>-1</v>
      </c>
    </row>
    <row r="73" spans="1:26" s="24" customFormat="1" hidden="1" outlineLevel="2" x14ac:dyDescent="0.25">
      <c r="A73" s="27"/>
      <c r="B73" s="11" t="str">
        <f>CONCATENATE("          ", "6285", " - ", "JANITORIAL SERVICES")</f>
        <v xml:space="preserve">          6285 - JANITORIAL SERVICES</v>
      </c>
      <c r="C73" s="11"/>
      <c r="D73" s="7">
        <v>4151.8599999999997</v>
      </c>
      <c r="E73" s="2"/>
      <c r="F73" s="6">
        <f t="shared" si="36"/>
        <v>1.4363334953645028E-2</v>
      </c>
      <c r="G73" s="2"/>
      <c r="H73" s="7">
        <v>4652</v>
      </c>
      <c r="I73" s="2"/>
      <c r="J73" s="6">
        <f t="shared" si="37"/>
        <v>3.0767195767195766E-2</v>
      </c>
      <c r="K73" s="2"/>
      <c r="L73" s="7">
        <f t="shared" si="38"/>
        <v>-500.14000000000033</v>
      </c>
      <c r="M73" s="2"/>
      <c r="N73" s="6">
        <f t="shared" si="39"/>
        <v>-0.10751074806534831</v>
      </c>
      <c r="O73" s="11"/>
      <c r="P73" s="7">
        <v>8244.76</v>
      </c>
      <c r="Q73" s="2"/>
      <c r="R73" s="6">
        <f t="shared" si="40"/>
        <v>1.6717866665931287E-2</v>
      </c>
      <c r="S73" s="2"/>
      <c r="T73" s="7">
        <v>18608</v>
      </c>
      <c r="U73" s="2"/>
      <c r="V73" s="6">
        <f t="shared" si="41"/>
        <v>6.1534391534391532E-2</v>
      </c>
      <c r="W73" s="2"/>
      <c r="X73" s="7">
        <f t="shared" si="42"/>
        <v>-10363.24</v>
      </c>
      <c r="Y73" s="2"/>
      <c r="Z73" s="6">
        <f t="shared" si="43"/>
        <v>-0.55692390369733447</v>
      </c>
    </row>
    <row r="74" spans="1:26" s="24" customFormat="1" hidden="1" outlineLevel="2" x14ac:dyDescent="0.25">
      <c r="A74" s="27"/>
      <c r="B74" s="11" t="str">
        <f>CONCATENATE("          ", "6286", " - ", "LAUNDRY EXPENSE")</f>
        <v xml:space="preserve">          6286 - LAUNDRY EXPENSE</v>
      </c>
      <c r="C74" s="11"/>
      <c r="D74" s="7">
        <v>5022.1000000000004</v>
      </c>
      <c r="E74" s="2"/>
      <c r="F74" s="6">
        <f t="shared" si="36"/>
        <v>1.7373925053036639E-2</v>
      </c>
      <c r="G74" s="2"/>
      <c r="H74" s="7">
        <v>1600</v>
      </c>
      <c r="I74" s="2"/>
      <c r="J74" s="6">
        <f t="shared" si="37"/>
        <v>1.0582010582010581E-2</v>
      </c>
      <c r="K74" s="2"/>
      <c r="L74" s="7">
        <f t="shared" si="38"/>
        <v>3422.1000000000004</v>
      </c>
      <c r="M74" s="2"/>
      <c r="N74" s="6">
        <f t="shared" si="39"/>
        <v>2.1388125000000002</v>
      </c>
      <c r="O74" s="11"/>
      <c r="P74" s="7">
        <v>5022.1000000000004</v>
      </c>
      <c r="Q74" s="2"/>
      <c r="R74" s="6">
        <f t="shared" si="40"/>
        <v>1.0183291955493371E-2</v>
      </c>
      <c r="S74" s="2"/>
      <c r="T74" s="7">
        <v>4800</v>
      </c>
      <c r="U74" s="2"/>
      <c r="V74" s="6">
        <f t="shared" si="41"/>
        <v>1.5873015873015872E-2</v>
      </c>
      <c r="W74" s="2"/>
      <c r="X74" s="7">
        <f t="shared" si="42"/>
        <v>222.10000000000036</v>
      </c>
      <c r="Y74" s="2"/>
      <c r="Z74" s="6">
        <f t="shared" si="43"/>
        <v>4.6270833333333407E-2</v>
      </c>
    </row>
    <row r="75" spans="1:26" s="28" customFormat="1" outlineLevel="1" collapsed="1" x14ac:dyDescent="0.25">
      <c r="A75" s="29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SUM(OSRRefD22_13x_0)</f>
        <v>22941.589999999997</v>
      </c>
      <c r="E75" s="1"/>
      <c r="F75" s="5">
        <f t="shared" ref="F75:F82" si="44">IF(D$12=0,0,D75/D$12)</f>
        <v>7.936629403187806E-2</v>
      </c>
      <c r="G75" s="1"/>
      <c r="H75" s="1">
        <f>SUM(OSRRefH22_13x_0)</f>
        <v>5046</v>
      </c>
      <c r="I75" s="1"/>
      <c r="J75" s="5">
        <f t="shared" ref="J75:J82" si="45">IF(H$12=0,0,H75/H$12)</f>
        <v>3.3373015873015874E-2</v>
      </c>
      <c r="K75" s="1"/>
      <c r="L75" s="1">
        <f t="shared" ref="L75:L82" si="46">+D75-H75</f>
        <v>17895.589999999997</v>
      </c>
      <c r="M75" s="1"/>
      <c r="N75" s="5">
        <f t="shared" ref="N75:N82" si="47">IF(H75=0,0,L75/H75)</f>
        <v>3.546490289338089</v>
      </c>
      <c r="O75" s="14"/>
      <c r="P75" s="1">
        <f>SUM(OSRRefP22_13x_0)</f>
        <v>50379.56</v>
      </c>
      <c r="Q75" s="1"/>
      <c r="R75" s="5">
        <f t="shared" ref="R75:R82" si="48">IF(P$12=0,0,P75/P$12)</f>
        <v>0.1021544310287122</v>
      </c>
      <c r="S75" s="1"/>
      <c r="T75" s="1">
        <f>SUM(OSRRefT22_13x_0)</f>
        <v>26384</v>
      </c>
      <c r="U75" s="1"/>
      <c r="V75" s="5">
        <f t="shared" ref="V75:V82" si="49">IF(T$12=0,0,T75/T$12)</f>
        <v>8.7248677248677242E-2</v>
      </c>
      <c r="W75" s="1"/>
      <c r="X75" s="1">
        <f t="shared" ref="X75:X82" si="50">+P75-T75</f>
        <v>23995.559999999998</v>
      </c>
      <c r="Y75" s="1"/>
      <c r="Z75" s="5">
        <f t="shared" ref="Z75:Z82" si="51">IF(T75=0,0,X75/T75)</f>
        <v>0.90947392359005452</v>
      </c>
    </row>
    <row r="76" spans="1:26" s="24" customFormat="1" hidden="1" outlineLevel="2" x14ac:dyDescent="0.25">
      <c r="A76" s="27"/>
      <c r="B76" s="11" t="str">
        <f>CONCATENATE("          ", "6237", " - ", "JANITORIAL SUPPLIES")</f>
        <v xml:space="preserve">          6237 - JANITORIAL SUPPLIES</v>
      </c>
      <c r="C76" s="11"/>
      <c r="D76" s="7">
        <v>1573.08</v>
      </c>
      <c r="E76" s="2"/>
      <c r="F76" s="6">
        <f t="shared" si="44"/>
        <v>5.4420608953288218E-3</v>
      </c>
      <c r="G76" s="2"/>
      <c r="H76" s="7">
        <v>2000</v>
      </c>
      <c r="I76" s="2"/>
      <c r="J76" s="6">
        <f t="shared" si="45"/>
        <v>1.3227513227513227E-2</v>
      </c>
      <c r="K76" s="2"/>
      <c r="L76" s="7">
        <f t="shared" si="46"/>
        <v>-426.92000000000007</v>
      </c>
      <c r="M76" s="2"/>
      <c r="N76" s="6">
        <f t="shared" si="47"/>
        <v>-0.21346000000000004</v>
      </c>
      <c r="O76" s="11"/>
      <c r="P76" s="7">
        <v>6456.39</v>
      </c>
      <c r="Q76" s="2"/>
      <c r="R76" s="6">
        <f t="shared" si="48"/>
        <v>1.3091596015317864E-2</v>
      </c>
      <c r="S76" s="2"/>
      <c r="T76" s="7">
        <v>11000</v>
      </c>
      <c r="U76" s="2"/>
      <c r="V76" s="6">
        <f t="shared" si="49"/>
        <v>3.6375661375661374E-2</v>
      </c>
      <c r="W76" s="2"/>
      <c r="X76" s="7">
        <f t="shared" si="50"/>
        <v>-4543.6099999999997</v>
      </c>
      <c r="Y76" s="2"/>
      <c r="Z76" s="6">
        <f t="shared" si="51"/>
        <v>-0.4130554545454545</v>
      </c>
    </row>
    <row r="77" spans="1:26" s="24" customFormat="1" hidden="1" outlineLevel="2" x14ac:dyDescent="0.25">
      <c r="A77" s="27"/>
      <c r="B77" s="11" t="str">
        <f>CONCATENATE("          ", "6239", " - ", "KITCHEN SUPPLIES")</f>
        <v xml:space="preserve">          6239 - KITCHEN SUPPLIES</v>
      </c>
      <c r="C77" s="11"/>
      <c r="D77" s="7">
        <v>2798.69</v>
      </c>
      <c r="E77" s="2"/>
      <c r="F77" s="6">
        <f t="shared" si="44"/>
        <v>9.6820513941743725E-3</v>
      </c>
      <c r="G77" s="2"/>
      <c r="H77" s="7">
        <v>600</v>
      </c>
      <c r="I77" s="2"/>
      <c r="J77" s="6">
        <f t="shared" si="45"/>
        <v>3.968253968253968E-3</v>
      </c>
      <c r="K77" s="2"/>
      <c r="L77" s="7">
        <f t="shared" si="46"/>
        <v>2198.69</v>
      </c>
      <c r="M77" s="2"/>
      <c r="N77" s="6">
        <f t="shared" si="47"/>
        <v>3.6644833333333335</v>
      </c>
      <c r="O77" s="11"/>
      <c r="P77" s="7">
        <v>8702.35</v>
      </c>
      <c r="Q77" s="2"/>
      <c r="R77" s="6">
        <f t="shared" si="48"/>
        <v>1.7645720067081049E-2</v>
      </c>
      <c r="S77" s="2"/>
      <c r="T77" s="7">
        <v>7600</v>
      </c>
      <c r="U77" s="2"/>
      <c r="V77" s="6">
        <f t="shared" si="49"/>
        <v>2.5132275132275131E-2</v>
      </c>
      <c r="W77" s="2"/>
      <c r="X77" s="7">
        <f t="shared" si="50"/>
        <v>1102.3500000000004</v>
      </c>
      <c r="Y77" s="2"/>
      <c r="Z77" s="6">
        <f t="shared" si="51"/>
        <v>0.14504605263157899</v>
      </c>
    </row>
    <row r="78" spans="1:26" s="24" customFormat="1" hidden="1" outlineLevel="2" x14ac:dyDescent="0.25">
      <c r="A78" s="27"/>
      <c r="B78" s="11" t="str">
        <f>CONCATENATE("          ", "6241", " - ", "OFFICE EXPENSE")</f>
        <v xml:space="preserve">          6241 - OFFICE EXPENSE</v>
      </c>
      <c r="C78" s="11"/>
      <c r="D78" s="7">
        <v>1729.89</v>
      </c>
      <c r="E78" s="2"/>
      <c r="F78" s="6">
        <f t="shared" si="44"/>
        <v>5.984544156826338E-3</v>
      </c>
      <c r="G78" s="2"/>
      <c r="H78" s="7">
        <v>125</v>
      </c>
      <c r="I78" s="2"/>
      <c r="J78" s="6">
        <f t="shared" si="45"/>
        <v>8.2671957671957667E-4</v>
      </c>
      <c r="K78" s="2"/>
      <c r="L78" s="7">
        <f t="shared" si="46"/>
        <v>1604.89</v>
      </c>
      <c r="M78" s="2"/>
      <c r="N78" s="6">
        <f t="shared" si="47"/>
        <v>12.839120000000001</v>
      </c>
      <c r="O78" s="11"/>
      <c r="P78" s="7">
        <v>4597.18</v>
      </c>
      <c r="Q78" s="2"/>
      <c r="R78" s="6">
        <f t="shared" si="48"/>
        <v>9.3216833818432557E-3</v>
      </c>
      <c r="S78" s="2"/>
      <c r="T78" s="7">
        <v>500</v>
      </c>
      <c r="U78" s="2"/>
      <c r="V78" s="6">
        <f t="shared" si="49"/>
        <v>1.6534391534391533E-3</v>
      </c>
      <c r="W78" s="2"/>
      <c r="X78" s="7">
        <f t="shared" si="50"/>
        <v>4097.18</v>
      </c>
      <c r="Y78" s="2"/>
      <c r="Z78" s="6">
        <f t="shared" si="51"/>
        <v>8.1943600000000014</v>
      </c>
    </row>
    <row r="79" spans="1:26" s="24" customFormat="1" hidden="1" outlineLevel="2" x14ac:dyDescent="0.25">
      <c r="A79" s="27"/>
      <c r="B79" s="11" t="str">
        <f>CONCATENATE("          ", "6243", " - ", "PAPER SUPPLIES")</f>
        <v xml:space="preserve">          6243 - PAPER SUPPLIES</v>
      </c>
      <c r="C79" s="11"/>
      <c r="D79" s="7">
        <v>14888.91</v>
      </c>
      <c r="E79" s="2"/>
      <c r="F79" s="6">
        <f t="shared" si="44"/>
        <v>5.1508095510126792E-2</v>
      </c>
      <c r="G79" s="2"/>
      <c r="H79" s="7">
        <v>2000</v>
      </c>
      <c r="I79" s="2"/>
      <c r="J79" s="6">
        <f t="shared" si="45"/>
        <v>1.3227513227513227E-2</v>
      </c>
      <c r="K79" s="2"/>
      <c r="L79" s="7">
        <f t="shared" si="46"/>
        <v>12888.91</v>
      </c>
      <c r="M79" s="2"/>
      <c r="N79" s="6">
        <f t="shared" si="47"/>
        <v>6.4444549999999996</v>
      </c>
      <c r="O79" s="11"/>
      <c r="P79" s="7">
        <v>28545.279999999999</v>
      </c>
      <c r="Q79" s="2"/>
      <c r="R79" s="6">
        <f t="shared" si="48"/>
        <v>5.7881149358098363E-2</v>
      </c>
      <c r="S79" s="2"/>
      <c r="T79" s="7">
        <v>6000</v>
      </c>
      <c r="U79" s="2"/>
      <c r="V79" s="6">
        <f t="shared" si="49"/>
        <v>1.984126984126984E-2</v>
      </c>
      <c r="W79" s="2"/>
      <c r="X79" s="7">
        <f t="shared" si="50"/>
        <v>22545.279999999999</v>
      </c>
      <c r="Y79" s="2"/>
      <c r="Z79" s="6">
        <f t="shared" si="51"/>
        <v>3.7575466666666664</v>
      </c>
    </row>
    <row r="80" spans="1:26" s="24" customFormat="1" hidden="1" outlineLevel="2" x14ac:dyDescent="0.25">
      <c r="A80" s="27"/>
      <c r="B80" s="11" t="str">
        <f>CONCATENATE("          ", "6244", " - ", "SAFETY SUPPLY EXPENSE")</f>
        <v xml:space="preserve">          6244 - SAFETY SUPPLY EXPENSE</v>
      </c>
      <c r="C80" s="11"/>
      <c r="D80" s="7"/>
      <c r="E80" s="2"/>
      <c r="F80" s="6">
        <f t="shared" si="44"/>
        <v>0</v>
      </c>
      <c r="G80" s="2"/>
      <c r="H80" s="7">
        <v>125</v>
      </c>
      <c r="I80" s="2"/>
      <c r="J80" s="6">
        <f t="shared" si="45"/>
        <v>8.2671957671957667E-4</v>
      </c>
      <c r="K80" s="2"/>
      <c r="L80" s="7">
        <f t="shared" si="46"/>
        <v>-125</v>
      </c>
      <c r="M80" s="2"/>
      <c r="N80" s="6">
        <f t="shared" si="47"/>
        <v>-1</v>
      </c>
      <c r="O80" s="11"/>
      <c r="P80" s="7"/>
      <c r="Q80" s="2"/>
      <c r="R80" s="6">
        <f t="shared" si="48"/>
        <v>0</v>
      </c>
      <c r="S80" s="2"/>
      <c r="T80" s="7">
        <v>500</v>
      </c>
      <c r="U80" s="2"/>
      <c r="V80" s="6">
        <f t="shared" si="49"/>
        <v>1.6534391534391533E-3</v>
      </c>
      <c r="W80" s="2"/>
      <c r="X80" s="7">
        <f t="shared" si="50"/>
        <v>-500</v>
      </c>
      <c r="Y80" s="2"/>
      <c r="Z80" s="6">
        <f t="shared" si="51"/>
        <v>-1</v>
      </c>
    </row>
    <row r="81" spans="1:26" s="24" customFormat="1" hidden="1" outlineLevel="2" x14ac:dyDescent="0.25">
      <c r="A81" s="27"/>
      <c r="B81" s="11" t="str">
        <f>CONCATENATE("          ", "6247", " - ", "STORE SUPPLIES")</f>
        <v xml:space="preserve">          6247 - STORE SUPPLIES</v>
      </c>
      <c r="C81" s="11"/>
      <c r="D81" s="7">
        <v>80.599999999999994</v>
      </c>
      <c r="E81" s="2"/>
      <c r="F81" s="6">
        <f t="shared" si="44"/>
        <v>2.788352201817473E-4</v>
      </c>
      <c r="G81" s="2"/>
      <c r="H81" s="7"/>
      <c r="I81" s="2"/>
      <c r="J81" s="6">
        <f t="shared" si="45"/>
        <v>0</v>
      </c>
      <c r="K81" s="2"/>
      <c r="L81" s="7">
        <f t="shared" si="46"/>
        <v>80.599999999999994</v>
      </c>
      <c r="M81" s="2"/>
      <c r="N81" s="6">
        <f t="shared" si="47"/>
        <v>0</v>
      </c>
      <c r="O81" s="11"/>
      <c r="P81" s="7">
        <v>207.94</v>
      </c>
      <c r="Q81" s="2"/>
      <c r="R81" s="6">
        <f t="shared" si="48"/>
        <v>4.2163910101855628E-4</v>
      </c>
      <c r="S81" s="2"/>
      <c r="T81" s="7"/>
      <c r="U81" s="2"/>
      <c r="V81" s="6">
        <f t="shared" si="49"/>
        <v>0</v>
      </c>
      <c r="W81" s="2"/>
      <c r="X81" s="7">
        <f t="shared" si="50"/>
        <v>207.94</v>
      </c>
      <c r="Y81" s="2"/>
      <c r="Z81" s="6">
        <f t="shared" si="51"/>
        <v>0</v>
      </c>
    </row>
    <row r="82" spans="1:26" s="24" customFormat="1" hidden="1" outlineLevel="2" x14ac:dyDescent="0.25">
      <c r="A82" s="27"/>
      <c r="B82" s="11" t="str">
        <f>CONCATENATE("          ", "6248", " - ", "UNIFORMS")</f>
        <v xml:space="preserve">          6248 - UNIFORMS</v>
      </c>
      <c r="C82" s="11"/>
      <c r="D82" s="7">
        <v>1870.42</v>
      </c>
      <c r="E82" s="2"/>
      <c r="F82" s="6">
        <f t="shared" si="44"/>
        <v>6.4707068552399974E-3</v>
      </c>
      <c r="G82" s="2"/>
      <c r="H82" s="7">
        <v>196</v>
      </c>
      <c r="I82" s="2"/>
      <c r="J82" s="6">
        <f t="shared" si="45"/>
        <v>1.2962962962962963E-3</v>
      </c>
      <c r="K82" s="2"/>
      <c r="L82" s="7">
        <f t="shared" si="46"/>
        <v>1674.42</v>
      </c>
      <c r="M82" s="2"/>
      <c r="N82" s="6">
        <f t="shared" si="47"/>
        <v>8.5429591836734691</v>
      </c>
      <c r="O82" s="11"/>
      <c r="P82" s="7">
        <v>1870.42</v>
      </c>
      <c r="Q82" s="2"/>
      <c r="R82" s="6">
        <f t="shared" si="48"/>
        <v>3.7926431053531212E-3</v>
      </c>
      <c r="S82" s="2"/>
      <c r="T82" s="7">
        <v>784</v>
      </c>
      <c r="U82" s="2"/>
      <c r="V82" s="6">
        <f t="shared" si="49"/>
        <v>2.5925925925925925E-3</v>
      </c>
      <c r="W82" s="2"/>
      <c r="X82" s="7">
        <f t="shared" si="50"/>
        <v>1086.42</v>
      </c>
      <c r="Y82" s="2"/>
      <c r="Z82" s="6">
        <f t="shared" si="51"/>
        <v>1.3857397959183675</v>
      </c>
    </row>
    <row r="83" spans="1:26" s="28" customFormat="1" outlineLevel="1" collapsed="1" x14ac:dyDescent="0.25">
      <c r="A83" s="29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SUM(OSRRefD22_14x_0)</f>
        <v>251</v>
      </c>
      <c r="E83" s="1"/>
      <c r="F83" s="5">
        <f t="shared" ref="F83:F88" si="52">IF(D$12=0,0,D83/D$12)</f>
        <v>8.6833300577690532E-4</v>
      </c>
      <c r="G83" s="1"/>
      <c r="H83" s="1">
        <f>SUM(OSRRefH22_14x_0)</f>
        <v>125</v>
      </c>
      <c r="I83" s="1"/>
      <c r="J83" s="5">
        <f t="shared" ref="J83:J88" si="53">IF(H$12=0,0,H83/H$12)</f>
        <v>8.2671957671957667E-4</v>
      </c>
      <c r="K83" s="1"/>
      <c r="L83" s="1">
        <f t="shared" ref="L83:L88" si="54">+D83-H83</f>
        <v>126</v>
      </c>
      <c r="M83" s="1"/>
      <c r="N83" s="5">
        <f t="shared" ref="N83:N88" si="55">IF(H83=0,0,L83/H83)</f>
        <v>1.008</v>
      </c>
      <c r="O83" s="14"/>
      <c r="P83" s="1">
        <f>SUM(OSRRefP22_14x_0)</f>
        <v>623.85</v>
      </c>
      <c r="Q83" s="1"/>
      <c r="R83" s="5">
        <f t="shared" ref="R83:R88" si="56">IF(P$12=0,0,P83/P$12)</f>
        <v>1.2649781339349156E-3</v>
      </c>
      <c r="S83" s="1"/>
      <c r="T83" s="1">
        <f>SUM(OSRRefT22_14x_0)</f>
        <v>500</v>
      </c>
      <c r="U83" s="1"/>
      <c r="V83" s="5">
        <f t="shared" ref="V83:V88" si="57">IF(T$12=0,0,T83/T$12)</f>
        <v>1.6534391534391533E-3</v>
      </c>
      <c r="W83" s="1"/>
      <c r="X83" s="1">
        <f t="shared" ref="X83:X88" si="58">+P83-T83</f>
        <v>123.85000000000002</v>
      </c>
      <c r="Y83" s="1"/>
      <c r="Z83" s="5">
        <f t="shared" ref="Z83:Z88" si="59">IF(T83=0,0,X83/T83)</f>
        <v>0.24770000000000006</v>
      </c>
    </row>
    <row r="84" spans="1:26" s="24" customFormat="1" hidden="1" outlineLevel="2" x14ac:dyDescent="0.25">
      <c r="A84" s="27"/>
      <c r="B84" s="11" t="str">
        <f>CONCATENATE("          ", "6309", " - ", "TELEPHONE")</f>
        <v xml:space="preserve">          6309 - TELEPHONE</v>
      </c>
      <c r="C84" s="11"/>
      <c r="D84" s="7">
        <v>251</v>
      </c>
      <c r="E84" s="2"/>
      <c r="F84" s="6">
        <f t="shared" si="52"/>
        <v>8.6833300577690532E-4</v>
      </c>
      <c r="G84" s="2"/>
      <c r="H84" s="7">
        <v>125</v>
      </c>
      <c r="I84" s="2"/>
      <c r="J84" s="6">
        <f t="shared" si="53"/>
        <v>8.2671957671957667E-4</v>
      </c>
      <c r="K84" s="2"/>
      <c r="L84" s="7">
        <f t="shared" si="54"/>
        <v>126</v>
      </c>
      <c r="M84" s="2"/>
      <c r="N84" s="6">
        <f t="shared" si="55"/>
        <v>1.008</v>
      </c>
      <c r="O84" s="11"/>
      <c r="P84" s="7">
        <v>623.85</v>
      </c>
      <c r="Q84" s="2"/>
      <c r="R84" s="6">
        <f t="shared" si="56"/>
        <v>1.2649781339349156E-3</v>
      </c>
      <c r="S84" s="2"/>
      <c r="T84" s="7">
        <v>500</v>
      </c>
      <c r="U84" s="2"/>
      <c r="V84" s="6">
        <f t="shared" si="57"/>
        <v>1.6534391534391533E-3</v>
      </c>
      <c r="W84" s="2"/>
      <c r="X84" s="7">
        <f t="shared" si="58"/>
        <v>123.85000000000002</v>
      </c>
      <c r="Y84" s="2"/>
      <c r="Z84" s="6">
        <f t="shared" si="59"/>
        <v>0.24770000000000006</v>
      </c>
    </row>
    <row r="85" spans="1:26" s="28" customFormat="1" outlineLevel="1" collapsed="1" x14ac:dyDescent="0.25">
      <c r="A85" s="29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SUM(OSRRefD22_15x_0)</f>
        <v>0</v>
      </c>
      <c r="E85" s="1"/>
      <c r="F85" s="5">
        <f t="shared" si="52"/>
        <v>0</v>
      </c>
      <c r="G85" s="1"/>
      <c r="H85" s="1">
        <f>SUM(OSRRefH22_15x_0)</f>
        <v>165</v>
      </c>
      <c r="I85" s="1"/>
      <c r="J85" s="5">
        <f t="shared" si="53"/>
        <v>1.0912698412698413E-3</v>
      </c>
      <c r="K85" s="1"/>
      <c r="L85" s="1">
        <f t="shared" si="54"/>
        <v>-165</v>
      </c>
      <c r="M85" s="1"/>
      <c r="N85" s="5">
        <f t="shared" si="55"/>
        <v>-1</v>
      </c>
      <c r="O85" s="14"/>
      <c r="P85" s="1">
        <f>SUM(OSRRefP22_15x_0)</f>
        <v>0</v>
      </c>
      <c r="Q85" s="1"/>
      <c r="R85" s="5">
        <f t="shared" si="56"/>
        <v>0</v>
      </c>
      <c r="S85" s="1"/>
      <c r="T85" s="1">
        <f>SUM(OSRRefT22_15x_0)</f>
        <v>660</v>
      </c>
      <c r="U85" s="1"/>
      <c r="V85" s="5">
        <f t="shared" si="57"/>
        <v>2.1825396825396826E-3</v>
      </c>
      <c r="W85" s="1"/>
      <c r="X85" s="1">
        <f t="shared" si="58"/>
        <v>-660</v>
      </c>
      <c r="Y85" s="1"/>
      <c r="Z85" s="5">
        <f t="shared" si="59"/>
        <v>-1</v>
      </c>
    </row>
    <row r="86" spans="1:26" s="24" customFormat="1" hidden="1" outlineLevel="2" x14ac:dyDescent="0.25">
      <c r="A86" s="27"/>
      <c r="B86" s="11" t="str">
        <f>CONCATENATE("          ", "6376", " - ", "TRAINING")</f>
        <v xml:space="preserve">          6376 - TRAINING</v>
      </c>
      <c r="C86" s="11"/>
      <c r="D86" s="7"/>
      <c r="E86" s="2"/>
      <c r="F86" s="6">
        <f t="shared" si="52"/>
        <v>0</v>
      </c>
      <c r="G86" s="2"/>
      <c r="H86" s="7">
        <v>165</v>
      </c>
      <c r="I86" s="2"/>
      <c r="J86" s="6">
        <f t="shared" si="53"/>
        <v>1.0912698412698413E-3</v>
      </c>
      <c r="K86" s="2"/>
      <c r="L86" s="7">
        <f t="shared" si="54"/>
        <v>-165</v>
      </c>
      <c r="M86" s="2"/>
      <c r="N86" s="6">
        <f t="shared" si="55"/>
        <v>-1</v>
      </c>
      <c r="O86" s="11"/>
      <c r="P86" s="7"/>
      <c r="Q86" s="2"/>
      <c r="R86" s="6">
        <f t="shared" si="56"/>
        <v>0</v>
      </c>
      <c r="S86" s="2"/>
      <c r="T86" s="7">
        <v>660</v>
      </c>
      <c r="U86" s="2"/>
      <c r="V86" s="6">
        <f t="shared" si="57"/>
        <v>2.1825396825396826E-3</v>
      </c>
      <c r="W86" s="2"/>
      <c r="X86" s="7">
        <f t="shared" si="58"/>
        <v>-660</v>
      </c>
      <c r="Y86" s="2"/>
      <c r="Z86" s="6">
        <f t="shared" si="59"/>
        <v>-1</v>
      </c>
    </row>
    <row r="87" spans="1:26" s="28" customFormat="1" outlineLevel="1" collapsed="1" x14ac:dyDescent="0.25">
      <c r="A87" s="29"/>
      <c r="B87" s="14" t="str">
        <f>CONCATENATE("     ","Travel                                            ")</f>
        <v xml:space="preserve">     Travel                                            </v>
      </c>
      <c r="C87" s="14"/>
      <c r="D87" s="1">
        <f>SUM(OSRRefD22_16x_0)</f>
        <v>0</v>
      </c>
      <c r="E87" s="1"/>
      <c r="F87" s="5">
        <f t="shared" si="52"/>
        <v>0</v>
      </c>
      <c r="G87" s="1"/>
      <c r="H87" s="1">
        <f>SUM(OSRRefH22_16x_0)</f>
        <v>0</v>
      </c>
      <c r="I87" s="1"/>
      <c r="J87" s="5">
        <f t="shared" si="53"/>
        <v>0</v>
      </c>
      <c r="K87" s="1"/>
      <c r="L87" s="1">
        <f t="shared" si="54"/>
        <v>0</v>
      </c>
      <c r="M87" s="1"/>
      <c r="N87" s="5">
        <f t="shared" si="55"/>
        <v>0</v>
      </c>
      <c r="O87" s="14"/>
      <c r="P87" s="1">
        <f>SUM(OSRRefP22_16x_0)</f>
        <v>104.02</v>
      </c>
      <c r="Q87" s="1"/>
      <c r="R87" s="5">
        <f t="shared" si="56"/>
        <v>2.1092093530802262E-4</v>
      </c>
      <c r="S87" s="1"/>
      <c r="T87" s="1">
        <f>SUM(OSRRefT22_16x_0)</f>
        <v>0</v>
      </c>
      <c r="U87" s="1"/>
      <c r="V87" s="5">
        <f t="shared" si="57"/>
        <v>0</v>
      </c>
      <c r="W87" s="1"/>
      <c r="X87" s="1">
        <f t="shared" si="58"/>
        <v>104.02</v>
      </c>
      <c r="Y87" s="1"/>
      <c r="Z87" s="5">
        <f t="shared" si="59"/>
        <v>0</v>
      </c>
    </row>
    <row r="88" spans="1:26" s="24" customFormat="1" hidden="1" outlineLevel="2" x14ac:dyDescent="0.25">
      <c r="A88" s="27"/>
      <c r="B88" s="11" t="str">
        <f>CONCATENATE("          ", "6298", " - ", "VEHICLE MILEAGE")</f>
        <v xml:space="preserve">          6298 - VEHICLE MILEAGE</v>
      </c>
      <c r="C88" s="11"/>
      <c r="D88" s="7"/>
      <c r="E88" s="2"/>
      <c r="F88" s="6">
        <f t="shared" si="52"/>
        <v>0</v>
      </c>
      <c r="G88" s="2"/>
      <c r="H88" s="7"/>
      <c r="I88" s="2"/>
      <c r="J88" s="6">
        <f t="shared" si="53"/>
        <v>0</v>
      </c>
      <c r="K88" s="2"/>
      <c r="L88" s="7">
        <f t="shared" si="54"/>
        <v>0</v>
      </c>
      <c r="M88" s="2"/>
      <c r="N88" s="6">
        <f t="shared" si="55"/>
        <v>0</v>
      </c>
      <c r="O88" s="11"/>
      <c r="P88" s="7">
        <v>104.02</v>
      </c>
      <c r="Q88" s="2"/>
      <c r="R88" s="6">
        <f t="shared" si="56"/>
        <v>2.1092093530802262E-4</v>
      </c>
      <c r="S88" s="2"/>
      <c r="T88" s="7"/>
      <c r="U88" s="2"/>
      <c r="V88" s="6">
        <f t="shared" si="57"/>
        <v>0</v>
      </c>
      <c r="W88" s="2"/>
      <c r="X88" s="7">
        <f t="shared" si="58"/>
        <v>104.02</v>
      </c>
      <c r="Y88" s="2"/>
      <c r="Z88" s="6">
        <f t="shared" si="59"/>
        <v>0</v>
      </c>
    </row>
    <row r="89" spans="1:26" s="60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5" t="s">
        <v>293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6" t="s">
        <v>277</v>
      </c>
      <c r="C92" s="26"/>
      <c r="D92" s="21">
        <f>+D23-D25+D90</f>
        <v>17764.010000000038</v>
      </c>
      <c r="E92" s="13"/>
      <c r="F92" s="20">
        <f>IF(D$12=0,0,D92/D$12)</f>
        <v>6.1454486844426448E-2</v>
      </c>
      <c r="G92" s="13"/>
      <c r="H92" s="21">
        <f>+H23-H25+H90</f>
        <v>-39594.658746153873</v>
      </c>
      <c r="I92" s="13"/>
      <c r="J92" s="20">
        <f>IF(H$12=0,0,H92/H$12)</f>
        <v>-0.26186943615181135</v>
      </c>
      <c r="K92" s="15"/>
      <c r="L92" s="21">
        <f>+D92-H92</f>
        <v>57358.668746153911</v>
      </c>
      <c r="M92" s="15"/>
      <c r="N92" s="20">
        <f>IF(H92=0,0,L92/H92)</f>
        <v>-1.4486466246340761</v>
      </c>
      <c r="O92" s="25"/>
      <c r="P92" s="21">
        <f>+P23-P25+P90</f>
        <v>-103585.14999999991</v>
      </c>
      <c r="Q92" s="13"/>
      <c r="R92" s="20">
        <f>IF(P$12=0,0,P92/P$12)</f>
        <v>-0.21003919171334168</v>
      </c>
      <c r="S92" s="13"/>
      <c r="T92" s="21">
        <f>+T23-T25+T90</f>
        <v>-258898.03498615394</v>
      </c>
      <c r="U92" s="13"/>
      <c r="V92" s="20">
        <f>IF(T$12=0,0,T92/T$12)</f>
        <v>-0.85614429558913341</v>
      </c>
      <c r="W92" s="15"/>
      <c r="X92" s="21">
        <f>+P92-T92</f>
        <v>155312.88498615404</v>
      </c>
      <c r="Y92" s="15"/>
      <c r="Z92" s="20">
        <f>IF(T92=0,0,X92/T92)</f>
        <v>-0.5998998215434902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128</v>
      </c>
      <c r="C94" s="10"/>
      <c r="D94" s="4">
        <v>31742.48</v>
      </c>
      <c r="E94" s="4"/>
      <c r="F94" s="12">
        <f>IF(D$12=0,0,D94/D$12)</f>
        <v>0.10981292059447531</v>
      </c>
      <c r="G94" s="4"/>
      <c r="H94" s="4">
        <v>18355</v>
      </c>
      <c r="I94" s="4"/>
      <c r="J94" s="12">
        <f>IF(H$12=0,0,H94/H$12)</f>
        <v>0.12139550264550264</v>
      </c>
      <c r="K94" s="4"/>
      <c r="L94" s="4">
        <f>+D94-H94</f>
        <v>13387.48</v>
      </c>
      <c r="M94" s="4"/>
      <c r="N94" s="12">
        <f>IF(H94=0,0,L94/H94)</f>
        <v>0.72936420593843632</v>
      </c>
      <c r="O94" s="10"/>
      <c r="P94" s="4">
        <v>57006.44</v>
      </c>
      <c r="Q94" s="4"/>
      <c r="R94" s="12">
        <f>IF(P$12=0,0,P94/P$12)</f>
        <v>0.11559172893078902</v>
      </c>
      <c r="S94" s="4"/>
      <c r="T94" s="4">
        <v>34773</v>
      </c>
      <c r="U94" s="4"/>
      <c r="V94" s="12">
        <f>IF(T$12=0,0,T94/T$12)</f>
        <v>0.11499007936507936</v>
      </c>
      <c r="W94" s="4"/>
      <c r="X94" s="4">
        <f>+P94-T94</f>
        <v>22233.440000000002</v>
      </c>
      <c r="Y94" s="4"/>
      <c r="Z94" s="12">
        <f>IF(T94=0,0,X94/T94)</f>
        <v>0.63938803094354824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6" t="s">
        <v>126</v>
      </c>
      <c r="C96" s="26"/>
      <c r="D96" s="31">
        <f>+D92-D94</f>
        <v>-13978.469999999961</v>
      </c>
      <c r="E96" s="13"/>
      <c r="F96" s="33">
        <f>IF(D$12=0,0,D96/D$12)</f>
        <v>-4.8358433750048863E-2</v>
      </c>
      <c r="G96" s="13"/>
      <c r="H96" s="31">
        <f>+H92-H94</f>
        <v>-57949.658746153873</v>
      </c>
      <c r="I96" s="13"/>
      <c r="J96" s="33">
        <f>IF(H$12=0,0,H96/H$12)</f>
        <v>-0.38326493879731399</v>
      </c>
      <c r="K96" s="15"/>
      <c r="L96" s="31">
        <f>D96-H96</f>
        <v>43971.188746153915</v>
      </c>
      <c r="M96" s="15"/>
      <c r="N96" s="33">
        <f>IF(H96=0,0,L96/H96)</f>
        <v>-0.75878253120985439</v>
      </c>
      <c r="O96" s="25"/>
      <c r="P96" s="31">
        <f>+P92-P94</f>
        <v>-160591.58999999991</v>
      </c>
      <c r="Q96" s="13"/>
      <c r="R96" s="33">
        <f>IF(P$12=0,0,P96/P$12)</f>
        <v>-0.32563092064413068</v>
      </c>
      <c r="S96" s="13"/>
      <c r="T96" s="31">
        <f>+T92-T94</f>
        <v>-293671.03498615394</v>
      </c>
      <c r="U96" s="13"/>
      <c r="V96" s="33">
        <f>IF(T$12=0,0,T96/T$12)</f>
        <v>-0.97113437495421273</v>
      </c>
      <c r="W96" s="15"/>
      <c r="X96" s="31">
        <f>P96-T96</f>
        <v>133079.44498615403</v>
      </c>
      <c r="Y96" s="15"/>
      <c r="Z96" s="33">
        <f>IF(T96=0,0,X96/T96)</f>
        <v>-0.45315822512910914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6" t="s">
        <v>294</v>
      </c>
      <c r="C99" s="26"/>
      <c r="D99" s="35">
        <f>SUM(D96:D98)</f>
        <v>-13978.469999999961</v>
      </c>
      <c r="E99" s="13"/>
      <c r="F99" s="32">
        <f>IF(D$12=0,0,D99/D$12)</f>
        <v>-4.8358433750048863E-2</v>
      </c>
      <c r="G99" s="13"/>
      <c r="H99" s="35">
        <f>SUM(H96:H98)</f>
        <v>-57949.658746153873</v>
      </c>
      <c r="I99" s="13"/>
      <c r="J99" s="32">
        <f>IF(H$12=0,0,H99/H$12)</f>
        <v>-0.38326493879731399</v>
      </c>
      <c r="K99" s="15"/>
      <c r="L99" s="35">
        <f>+D99-H99</f>
        <v>43971.188746153915</v>
      </c>
      <c r="M99" s="15"/>
      <c r="N99" s="32">
        <f>IF(H99=0,0,L99/H99)</f>
        <v>-0.75878253120985439</v>
      </c>
      <c r="O99" s="25"/>
      <c r="P99" s="35">
        <f>SUM(P96:P98)</f>
        <v>-160591.58999999991</v>
      </c>
      <c r="Q99" s="13"/>
      <c r="R99" s="32">
        <f>IF(P$12=0,0,P99/P$12)</f>
        <v>-0.32563092064413068</v>
      </c>
      <c r="S99" s="13"/>
      <c r="T99" s="35">
        <f>SUM(T96:T98)</f>
        <v>-293671.03498615394</v>
      </c>
      <c r="U99" s="13"/>
      <c r="V99" s="32">
        <f>IF(T$12=0,0,T99/T$12)</f>
        <v>-0.97113437495421273</v>
      </c>
      <c r="W99" s="15"/>
      <c r="X99" s="35">
        <f>+P99-T99</f>
        <v>133079.44498615403</v>
      </c>
      <c r="Y99" s="15"/>
      <c r="Z99" s="32">
        <f>IF(T99=0,0,X99/T99)</f>
        <v>-0.45315822512910914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9">
        <v>44517.962875613426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62" t="s">
        <v>56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57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</sheetPr>
  <dimension ref="A2:Z8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105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35077</v>
      </c>
      <c r="E12" s="4"/>
      <c r="F12" s="12"/>
      <c r="G12" s="4"/>
      <c r="H12" s="4">
        <f>SUM(OSRRefH13x_0)</f>
        <v>41479</v>
      </c>
      <c r="I12" s="4"/>
      <c r="J12" s="12"/>
      <c r="K12" s="4"/>
      <c r="L12" s="4">
        <f t="shared" ref="L12:L13" si="0">+D12-H12</f>
        <v>-6402</v>
      </c>
      <c r="M12" s="4"/>
      <c r="N12" s="12">
        <f t="shared" ref="N12:N13" si="1">IF(H12=0,0,L12/H12)</f>
        <v>-0.15434316159984571</v>
      </c>
      <c r="O12" s="10"/>
      <c r="P12" s="4">
        <f>SUM(OSRRefP13x_0)</f>
        <v>288347</v>
      </c>
      <c r="Q12" s="4"/>
      <c r="R12" s="12"/>
      <c r="S12" s="4"/>
      <c r="T12" s="4">
        <f>SUM(OSRRefT13x_0)</f>
        <v>298292</v>
      </c>
      <c r="U12" s="4"/>
      <c r="V12" s="12"/>
      <c r="W12" s="4"/>
      <c r="X12" s="4">
        <f t="shared" ref="X12:X13" si="2">+P12-T12</f>
        <v>-9945</v>
      </c>
      <c r="Y12" s="4"/>
      <c r="Z12" s="12">
        <f t="shared" ref="Z12:Z13" si="3">IF(T12=0,0,X12/T12)</f>
        <v>-3.3339814678234748E-2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--35077</f>
        <v>35077</v>
      </c>
      <c r="E13" s="2"/>
      <c r="F13" s="19"/>
      <c r="G13" s="2"/>
      <c r="H13" s="2">
        <v>41479</v>
      </c>
      <c r="I13" s="2"/>
      <c r="J13" s="19"/>
      <c r="K13" s="2"/>
      <c r="L13" s="2">
        <f t="shared" si="0"/>
        <v>-6402</v>
      </c>
      <c r="M13" s="2"/>
      <c r="N13" s="19">
        <f t="shared" si="1"/>
        <v>-0.15434316159984571</v>
      </c>
      <c r="O13" s="11"/>
      <c r="P13" s="2">
        <f>--288347</f>
        <v>288347</v>
      </c>
      <c r="Q13" s="2"/>
      <c r="R13" s="19"/>
      <c r="S13" s="2"/>
      <c r="T13" s="2">
        <v>298292</v>
      </c>
      <c r="U13" s="2"/>
      <c r="V13" s="19"/>
      <c r="W13" s="2"/>
      <c r="X13" s="2">
        <f t="shared" si="2"/>
        <v>-9945</v>
      </c>
      <c r="Y13" s="2"/>
      <c r="Z13" s="19">
        <f t="shared" si="3"/>
        <v>-3.3339814678234748E-2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108</v>
      </c>
      <c r="C17" s="26"/>
      <c r="D17" s="21">
        <f>D12-D15</f>
        <v>35077</v>
      </c>
      <c r="E17" s="13"/>
      <c r="F17" s="20">
        <f>IF(D$12=0,0,D17/D$12)</f>
        <v>1</v>
      </c>
      <c r="G17" s="13"/>
      <c r="H17" s="21">
        <f>H12-H15</f>
        <v>41479</v>
      </c>
      <c r="I17" s="13"/>
      <c r="J17" s="20">
        <f>IF(H$12=0,0,H17/H$12)</f>
        <v>1</v>
      </c>
      <c r="K17" s="15"/>
      <c r="L17" s="21">
        <f>+D17-H17</f>
        <v>-6402</v>
      </c>
      <c r="M17" s="15"/>
      <c r="N17" s="20">
        <f>IF(H17=0,0,L17/H17)</f>
        <v>-0.15434316159984571</v>
      </c>
      <c r="O17" s="25"/>
      <c r="P17" s="21">
        <f>P12-P15</f>
        <v>288347</v>
      </c>
      <c r="Q17" s="13"/>
      <c r="R17" s="20">
        <f>IF(P$12=0,0,P17/P$12)</f>
        <v>1</v>
      </c>
      <c r="S17" s="13"/>
      <c r="T17" s="21">
        <f>T12-T15</f>
        <v>298292</v>
      </c>
      <c r="U17" s="13"/>
      <c r="V17" s="20">
        <f>IF(T$12=0,0,T17/T$12)</f>
        <v>1</v>
      </c>
      <c r="W17" s="15"/>
      <c r="X17" s="21">
        <f>+P17-T17</f>
        <v>-9945</v>
      </c>
      <c r="Y17" s="15"/>
      <c r="Z17" s="20">
        <f>IF(T17=0,0,X17/T17)</f>
        <v>-3.3339814678234748E-2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295</v>
      </c>
      <c r="C19" s="10"/>
      <c r="D19" s="22">
        <f>SUM(OSRRefD22x_0)</f>
        <v>37178.060000000005</v>
      </c>
      <c r="E19" s="22"/>
      <c r="F19" s="34">
        <f t="shared" ref="F19:F30" si="4">IF(D$12=0,0,D19/D$12)</f>
        <v>1.0598985089944979</v>
      </c>
      <c r="G19" s="22"/>
      <c r="H19" s="22">
        <f>SUM(OSRRefH22x_0)</f>
        <v>39639.737411472124</v>
      </c>
      <c r="I19" s="22"/>
      <c r="J19" s="34">
        <f t="shared" ref="J19:J30" si="5">IF(H$12=0,0,H19/H$12)</f>
        <v>0.95565798142366321</v>
      </c>
      <c r="K19" s="4"/>
      <c r="L19" s="22">
        <f t="shared" ref="L19:L30" si="6">+D19-H19</f>
        <v>-2461.6774114721193</v>
      </c>
      <c r="M19" s="4"/>
      <c r="N19" s="34">
        <f t="shared" ref="N19:N30" si="7">IF(H19=0,0,L19/H19)</f>
        <v>-6.210125425199426E-2</v>
      </c>
      <c r="O19" s="10"/>
      <c r="P19" s="22">
        <f>SUM(OSRRefP22x_0)</f>
        <v>225884.85000000003</v>
      </c>
      <c r="Q19" s="22"/>
      <c r="R19" s="34">
        <f t="shared" ref="R19:R30" si="8">IF(P$12=0,0,P19/P$12)</f>
        <v>0.78337853350303643</v>
      </c>
      <c r="S19" s="22"/>
      <c r="T19" s="22">
        <f>SUM(OSRRefT22x_0)</f>
        <v>277405.79500629962</v>
      </c>
      <c r="U19" s="22"/>
      <c r="V19" s="34">
        <f t="shared" ref="V19:V30" si="9">IF(T$12=0,0,T19/T$12)</f>
        <v>0.9299806733211069</v>
      </c>
      <c r="W19" s="4"/>
      <c r="X19" s="22">
        <f t="shared" ref="X19:X30" si="10">+P19-T19</f>
        <v>-51520.945006299589</v>
      </c>
      <c r="Y19" s="4"/>
      <c r="Z19" s="34">
        <f t="shared" ref="Z19:Z30" si="11">IF(T19=0,0,X19/T19)</f>
        <v>-0.18572411223467628</v>
      </c>
    </row>
    <row r="20" spans="1:26" s="28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4997.1099999999997</v>
      </c>
      <c r="E20" s="1"/>
      <c r="F20" s="5">
        <f t="shared" si="4"/>
        <v>0.14246115688342786</v>
      </c>
      <c r="G20" s="1"/>
      <c r="H20" s="1">
        <f>SUM(OSRRefH22_0x_0)</f>
        <v>3918.4396085875023</v>
      </c>
      <c r="I20" s="1"/>
      <c r="J20" s="5">
        <f t="shared" si="5"/>
        <v>9.4468034634092007E-2</v>
      </c>
      <c r="K20" s="1"/>
      <c r="L20" s="1">
        <f t="shared" si="6"/>
        <v>1078.6703914124973</v>
      </c>
      <c r="M20" s="1"/>
      <c r="N20" s="5">
        <f t="shared" si="7"/>
        <v>0.27528059614559952</v>
      </c>
      <c r="O20" s="14"/>
      <c r="P20" s="1">
        <f>SUM(OSRRefP22_0x_0)</f>
        <v>16225.33</v>
      </c>
      <c r="Q20" s="1"/>
      <c r="R20" s="5">
        <f t="shared" si="8"/>
        <v>5.6270153669016845E-2</v>
      </c>
      <c r="S20" s="1"/>
      <c r="T20" s="1">
        <f>SUM(OSRRefT22_0x_0)</f>
        <v>16623.622915915013</v>
      </c>
      <c r="U20" s="1"/>
      <c r="V20" s="5">
        <f t="shared" si="9"/>
        <v>5.5729362221967109E-2</v>
      </c>
      <c r="W20" s="1"/>
      <c r="X20" s="1">
        <f t="shared" si="10"/>
        <v>-398.29291591501351</v>
      </c>
      <c r="Y20" s="1"/>
      <c r="Z20" s="5">
        <f t="shared" si="11"/>
        <v>-2.3959453238902483E-2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7">
        <v>1435.84</v>
      </c>
      <c r="E21" s="2"/>
      <c r="F21" s="6">
        <f t="shared" si="4"/>
        <v>4.0933945320295345E-2</v>
      </c>
      <c r="G21" s="2"/>
      <c r="H21" s="7">
        <v>841.49147984711601</v>
      </c>
      <c r="I21" s="2"/>
      <c r="J21" s="6">
        <f t="shared" si="5"/>
        <v>2.0287168925169748E-2</v>
      </c>
      <c r="K21" s="2"/>
      <c r="L21" s="7">
        <f t="shared" si="6"/>
        <v>594.34852015288391</v>
      </c>
      <c r="M21" s="2"/>
      <c r="N21" s="6">
        <f t="shared" si="7"/>
        <v>0.70630366959968083</v>
      </c>
      <c r="O21" s="11"/>
      <c r="P21" s="7">
        <v>4889.28</v>
      </c>
      <c r="Q21" s="2"/>
      <c r="R21" s="6">
        <f t="shared" si="8"/>
        <v>1.6956236756408078E-2</v>
      </c>
      <c r="S21" s="2"/>
      <c r="T21" s="7">
        <v>5018.1927024496199</v>
      </c>
      <c r="U21" s="2"/>
      <c r="V21" s="6">
        <f t="shared" si="9"/>
        <v>1.6823088458455541E-2</v>
      </c>
      <c r="W21" s="2"/>
      <c r="X21" s="7">
        <f t="shared" si="10"/>
        <v>-128.91270244962016</v>
      </c>
      <c r="Y21" s="2"/>
      <c r="Z21" s="6">
        <f t="shared" si="11"/>
        <v>-2.5689069769419516E-2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242.24</v>
      </c>
      <c r="E22" s="2"/>
      <c r="F22" s="6">
        <f t="shared" si="4"/>
        <v>6.9059497676540182E-3</v>
      </c>
      <c r="G22" s="2"/>
      <c r="H22" s="7">
        <v>381.1949955</v>
      </c>
      <c r="I22" s="2"/>
      <c r="J22" s="6">
        <f t="shared" si="5"/>
        <v>9.1900719761807189E-3</v>
      </c>
      <c r="K22" s="2"/>
      <c r="L22" s="7">
        <f t="shared" si="6"/>
        <v>-138.9549955</v>
      </c>
      <c r="M22" s="2"/>
      <c r="N22" s="6">
        <f t="shared" si="7"/>
        <v>-0.36452471081824578</v>
      </c>
      <c r="O22" s="11"/>
      <c r="P22" s="7">
        <v>738.97</v>
      </c>
      <c r="Q22" s="2"/>
      <c r="R22" s="6">
        <f t="shared" si="8"/>
        <v>2.5627802612824134E-3</v>
      </c>
      <c r="S22" s="2"/>
      <c r="T22" s="7">
        <v>1411.3565838</v>
      </c>
      <c r="U22" s="2"/>
      <c r="V22" s="6">
        <f t="shared" si="9"/>
        <v>4.7314597233583198E-3</v>
      </c>
      <c r="W22" s="2"/>
      <c r="X22" s="7">
        <f t="shared" si="10"/>
        <v>-672.38658379999993</v>
      </c>
      <c r="Y22" s="2"/>
      <c r="Z22" s="6">
        <f t="shared" si="11"/>
        <v>-0.47641155432855675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7">
        <v>1054.3499999999999</v>
      </c>
      <c r="E23" s="2"/>
      <c r="F23" s="6">
        <f t="shared" si="4"/>
        <v>3.0058157767197877E-2</v>
      </c>
      <c r="G23" s="2"/>
      <c r="H23" s="7">
        <v>1022.5</v>
      </c>
      <c r="I23" s="2"/>
      <c r="J23" s="6">
        <f t="shared" si="5"/>
        <v>2.4651028231153112E-2</v>
      </c>
      <c r="K23" s="2"/>
      <c r="L23" s="7">
        <f t="shared" si="6"/>
        <v>31.849999999999909</v>
      </c>
      <c r="M23" s="2"/>
      <c r="N23" s="6">
        <f t="shared" si="7"/>
        <v>3.114914425427864E-2</v>
      </c>
      <c r="O23" s="11"/>
      <c r="P23" s="7">
        <v>4217.3999999999996</v>
      </c>
      <c r="Q23" s="2"/>
      <c r="R23" s="6">
        <f t="shared" si="8"/>
        <v>1.462612754771161E-2</v>
      </c>
      <c r="S23" s="2"/>
      <c r="T23" s="7">
        <v>4090</v>
      </c>
      <c r="U23" s="2"/>
      <c r="V23" s="6">
        <f t="shared" si="9"/>
        <v>1.3711396886272511E-2</v>
      </c>
      <c r="W23" s="2"/>
      <c r="X23" s="7">
        <f t="shared" si="10"/>
        <v>127.39999999999964</v>
      </c>
      <c r="Y23" s="2"/>
      <c r="Z23" s="6">
        <f t="shared" si="11"/>
        <v>3.114914425427864E-2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48.06</v>
      </c>
      <c r="E24" s="2"/>
      <c r="F24" s="6">
        <f t="shared" si="4"/>
        <v>1.3701285742794423E-3</v>
      </c>
      <c r="G24" s="2"/>
      <c r="H24" s="7">
        <v>51.3147109326923</v>
      </c>
      <c r="I24" s="2"/>
      <c r="J24" s="6">
        <f t="shared" si="5"/>
        <v>1.237125073716635E-3</v>
      </c>
      <c r="K24" s="2"/>
      <c r="L24" s="7">
        <f t="shared" si="6"/>
        <v>-3.2547109326922978</v>
      </c>
      <c r="M24" s="2"/>
      <c r="N24" s="6">
        <f t="shared" si="7"/>
        <v>-6.3426469204150585E-2</v>
      </c>
      <c r="O24" s="11"/>
      <c r="P24" s="7">
        <v>146.16</v>
      </c>
      <c r="Q24" s="2"/>
      <c r="R24" s="6">
        <f t="shared" si="8"/>
        <v>5.0688926883234436E-4</v>
      </c>
      <c r="S24" s="2"/>
      <c r="T24" s="7">
        <v>189.99030935769201</v>
      </c>
      <c r="U24" s="2"/>
      <c r="V24" s="6">
        <f t="shared" si="9"/>
        <v>6.3692727045208057E-4</v>
      </c>
      <c r="W24" s="2"/>
      <c r="X24" s="7">
        <f t="shared" si="10"/>
        <v>-43.830309357692016</v>
      </c>
      <c r="Y24" s="2"/>
      <c r="Z24" s="6">
        <f t="shared" si="11"/>
        <v>-0.23069760508244305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7">
        <v>879.87</v>
      </c>
      <c r="E25" s="2"/>
      <c r="F25" s="6">
        <f t="shared" si="4"/>
        <v>2.5083958149214585E-2</v>
      </c>
      <c r="G25" s="2"/>
      <c r="H25" s="7">
        <v>721.15959057692396</v>
      </c>
      <c r="I25" s="2"/>
      <c r="J25" s="6">
        <f t="shared" si="5"/>
        <v>1.7386137336409362E-2</v>
      </c>
      <c r="K25" s="2"/>
      <c r="L25" s="7">
        <f t="shared" si="6"/>
        <v>158.71040942307604</v>
      </c>
      <c r="M25" s="2"/>
      <c r="N25" s="6">
        <f t="shared" si="7"/>
        <v>0.2200766813571855</v>
      </c>
      <c r="O25" s="11"/>
      <c r="P25" s="7">
        <v>2639.61</v>
      </c>
      <c r="Q25" s="2"/>
      <c r="R25" s="6">
        <f t="shared" si="8"/>
        <v>9.1542828605811755E-3</v>
      </c>
      <c r="S25" s="2"/>
      <c r="T25" s="7">
        <v>2596.1745260769299</v>
      </c>
      <c r="U25" s="2"/>
      <c r="V25" s="6">
        <f t="shared" si="9"/>
        <v>8.7034668247117919E-3</v>
      </c>
      <c r="W25" s="2"/>
      <c r="X25" s="7">
        <f t="shared" si="10"/>
        <v>43.435473923070276</v>
      </c>
      <c r="Y25" s="2"/>
      <c r="Z25" s="6">
        <f t="shared" si="11"/>
        <v>1.6730567797653213E-2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7"/>
      <c r="B27" s="11" t="str">
        <f>CONCATENATE("          ", "6117", " - ", "RETIREMENT STAFF HOURLY")</f>
        <v xml:space="preserve">          6117 - RETIREMENT STAFF HOURLY</v>
      </c>
      <c r="C27" s="11"/>
      <c r="D27" s="7"/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0</v>
      </c>
      <c r="M27" s="2"/>
      <c r="N27" s="6">
        <f t="shared" si="7"/>
        <v>0</v>
      </c>
      <c r="O27" s="11"/>
      <c r="P27" s="7">
        <v>215.15</v>
      </c>
      <c r="Q27" s="2"/>
      <c r="R27" s="6">
        <f t="shared" si="8"/>
        <v>7.4614960446961476E-4</v>
      </c>
      <c r="S27" s="2"/>
      <c r="T27" s="7"/>
      <c r="U27" s="2"/>
      <c r="V27" s="6">
        <f t="shared" si="9"/>
        <v>0</v>
      </c>
      <c r="W27" s="2"/>
      <c r="X27" s="7">
        <f t="shared" si="10"/>
        <v>215.15</v>
      </c>
      <c r="Y27" s="2"/>
      <c r="Z27" s="6">
        <f t="shared" si="11"/>
        <v>0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7">
        <v>748.88</v>
      </c>
      <c r="E28" s="2"/>
      <c r="F28" s="6">
        <f t="shared" si="4"/>
        <v>2.1349602303503721E-2</v>
      </c>
      <c r="G28" s="2"/>
      <c r="H28" s="7">
        <v>251.56729903846201</v>
      </c>
      <c r="I28" s="2"/>
      <c r="J28" s="6">
        <f t="shared" si="5"/>
        <v>6.0649316289800139E-3</v>
      </c>
      <c r="K28" s="2"/>
      <c r="L28" s="7">
        <f t="shared" si="6"/>
        <v>497.31270096153798</v>
      </c>
      <c r="M28" s="2"/>
      <c r="N28" s="6">
        <f t="shared" si="7"/>
        <v>1.9768574964328096</v>
      </c>
      <c r="O28" s="11"/>
      <c r="P28" s="7">
        <v>1990.16</v>
      </c>
      <c r="Q28" s="2"/>
      <c r="R28" s="6">
        <f t="shared" si="8"/>
        <v>6.9019618723274393E-3</v>
      </c>
      <c r="S28" s="2"/>
      <c r="T28" s="7">
        <v>905.64227653846206</v>
      </c>
      <c r="U28" s="2"/>
      <c r="V28" s="6">
        <f t="shared" si="9"/>
        <v>3.036093078387828E-3</v>
      </c>
      <c r="W28" s="2"/>
      <c r="X28" s="7">
        <f t="shared" si="10"/>
        <v>1084.517723461538</v>
      </c>
      <c r="Y28" s="2"/>
      <c r="Z28" s="6">
        <f t="shared" si="11"/>
        <v>1.1975122535210836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7">
        <v>400.37</v>
      </c>
      <c r="E29" s="2"/>
      <c r="F29" s="6">
        <f t="shared" si="4"/>
        <v>1.1414031986771959E-2</v>
      </c>
      <c r="G29" s="2"/>
      <c r="H29" s="7">
        <v>649.21153269230797</v>
      </c>
      <c r="I29" s="2"/>
      <c r="J29" s="6">
        <f t="shared" si="5"/>
        <v>1.5651571462482413E-2</v>
      </c>
      <c r="K29" s="2"/>
      <c r="L29" s="7">
        <f t="shared" si="6"/>
        <v>-248.84153269230796</v>
      </c>
      <c r="M29" s="2"/>
      <c r="N29" s="6">
        <f t="shared" si="7"/>
        <v>-0.38329807799370336</v>
      </c>
      <c r="O29" s="11"/>
      <c r="P29" s="7">
        <v>1201.0999999999999</v>
      </c>
      <c r="Q29" s="2"/>
      <c r="R29" s="6">
        <f t="shared" si="8"/>
        <v>4.1654673015498684E-3</v>
      </c>
      <c r="S29" s="2"/>
      <c r="T29" s="7">
        <v>2412.2665176923101</v>
      </c>
      <c r="U29" s="2"/>
      <c r="V29" s="6">
        <f t="shared" si="9"/>
        <v>8.0869299803290398E-3</v>
      </c>
      <c r="W29" s="2"/>
      <c r="X29" s="7">
        <f t="shared" si="10"/>
        <v>-1211.1665176923102</v>
      </c>
      <c r="Y29" s="2"/>
      <c r="Z29" s="6">
        <f t="shared" si="11"/>
        <v>-0.50208652684487376</v>
      </c>
    </row>
    <row r="30" spans="1:26" s="24" customFormat="1" hidden="1" outlineLevel="2" x14ac:dyDescent="0.25">
      <c r="A30" s="27"/>
      <c r="B30" s="11" t="str">
        <f>CONCATENATE("          ", "6156", " - ", "EMPLOYEE MEALS")</f>
        <v xml:space="preserve">          6156 - EMPLOYEE MEALS</v>
      </c>
      <c r="C30" s="11"/>
      <c r="D30" s="7">
        <v>187.5</v>
      </c>
      <c r="E30" s="2"/>
      <c r="F30" s="6">
        <f t="shared" si="4"/>
        <v>5.3453830145109328E-3</v>
      </c>
      <c r="G30" s="2"/>
      <c r="H30" s="7"/>
      <c r="I30" s="2"/>
      <c r="J30" s="6">
        <f t="shared" si="5"/>
        <v>0</v>
      </c>
      <c r="K30" s="2"/>
      <c r="L30" s="7">
        <f t="shared" si="6"/>
        <v>187.5</v>
      </c>
      <c r="M30" s="2"/>
      <c r="N30" s="6">
        <f t="shared" si="7"/>
        <v>0</v>
      </c>
      <c r="O30" s="11"/>
      <c r="P30" s="7">
        <v>187.5</v>
      </c>
      <c r="Q30" s="2"/>
      <c r="R30" s="6">
        <f t="shared" si="8"/>
        <v>6.5025819585430057E-4</v>
      </c>
      <c r="S30" s="2"/>
      <c r="T30" s="7"/>
      <c r="U30" s="2"/>
      <c r="V30" s="6">
        <f t="shared" si="9"/>
        <v>0</v>
      </c>
      <c r="W30" s="2"/>
      <c r="X30" s="7">
        <f t="shared" si="10"/>
        <v>187.5</v>
      </c>
      <c r="Y30" s="2"/>
      <c r="Z30" s="6">
        <f t="shared" si="11"/>
        <v>0</v>
      </c>
    </row>
    <row r="31" spans="1:26" s="28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15533.409999999998</v>
      </c>
      <c r="E31" s="1"/>
      <c r="F31" s="5">
        <f t="shared" ref="F31:F41" si="12">IF(D$12=0,0,D31/D$12)</f>
        <v>0.44283747184764938</v>
      </c>
      <c r="G31" s="1"/>
      <c r="H31" s="1">
        <f>SUM(OSRRefH22_1x_0)</f>
        <v>24016.297802884619</v>
      </c>
      <c r="I31" s="1"/>
      <c r="J31" s="5">
        <f t="shared" ref="J31:J41" si="13">IF(H$12=0,0,H31/H$12)</f>
        <v>0.57899895857866923</v>
      </c>
      <c r="K31" s="1"/>
      <c r="L31" s="1">
        <f t="shared" ref="L31:L41" si="14">+D31-H31</f>
        <v>-8482.8878028846211</v>
      </c>
      <c r="M31" s="1"/>
      <c r="N31" s="5">
        <f t="shared" ref="N31:N41" si="15">IF(H31=0,0,L31/H31)</f>
        <v>-0.353213799750007</v>
      </c>
      <c r="O31" s="14"/>
      <c r="P31" s="1">
        <f>SUM(OSRRefP22_1x_0)</f>
        <v>65671.909999999989</v>
      </c>
      <c r="Q31" s="1"/>
      <c r="R31" s="5">
        <f t="shared" ref="R31:R41" si="16">IF(P$12=0,0,P31/P$12)</f>
        <v>0.22775305447949862</v>
      </c>
      <c r="S31" s="1"/>
      <c r="T31" s="1">
        <f>SUM(OSRRefT22_1x_0)</f>
        <v>88962.1720903846</v>
      </c>
      <c r="U31" s="1"/>
      <c r="V31" s="5">
        <f t="shared" ref="V31:V41" si="17">IF(T$12=0,0,T31/T$12)</f>
        <v>0.29823854508463049</v>
      </c>
      <c r="W31" s="1"/>
      <c r="X31" s="1">
        <f t="shared" ref="X31:X41" si="18">+P31-T31</f>
        <v>-23290.262090384611</v>
      </c>
      <c r="Y31" s="1"/>
      <c r="Z31" s="5">
        <f t="shared" ref="Z31:Z41" si="19">IF(T31=0,0,X31/T31)</f>
        <v>-0.26179961148792497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7">
        <v>4926.79</v>
      </c>
      <c r="E32" s="2"/>
      <c r="F32" s="6">
        <f t="shared" si="12"/>
        <v>0.14045642443766571</v>
      </c>
      <c r="G32" s="2"/>
      <c r="H32" s="7">
        <v>5174.7596153846198</v>
      </c>
      <c r="I32" s="2"/>
      <c r="J32" s="6">
        <f t="shared" si="13"/>
        <v>0.12475613238951325</v>
      </c>
      <c r="K32" s="2"/>
      <c r="L32" s="7">
        <f t="shared" si="14"/>
        <v>-247.96961538461983</v>
      </c>
      <c r="M32" s="2"/>
      <c r="N32" s="6">
        <f t="shared" si="15"/>
        <v>-4.791905978538661E-2</v>
      </c>
      <c r="O32" s="11"/>
      <c r="P32" s="7">
        <v>19484.09</v>
      </c>
      <c r="Q32" s="2"/>
      <c r="R32" s="6">
        <f t="shared" si="16"/>
        <v>6.7571675793401703E-2</v>
      </c>
      <c r="S32" s="2"/>
      <c r="T32" s="7">
        <v>18629.134615384599</v>
      </c>
      <c r="U32" s="2"/>
      <c r="V32" s="6">
        <f t="shared" si="17"/>
        <v>6.2452679305461091E-2</v>
      </c>
      <c r="W32" s="2"/>
      <c r="X32" s="7">
        <f t="shared" si="18"/>
        <v>854.95538461540127</v>
      </c>
      <c r="Y32" s="2"/>
      <c r="Z32" s="6">
        <f t="shared" si="19"/>
        <v>4.5893456795859364E-2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>
        <v>980.59</v>
      </c>
      <c r="E33" s="2"/>
      <c r="F33" s="6">
        <f t="shared" si="12"/>
        <v>2.7955355361062806E-2</v>
      </c>
      <c r="G33" s="2"/>
      <c r="H33" s="7">
        <v>2791.5381874999998</v>
      </c>
      <c r="I33" s="2"/>
      <c r="J33" s="6">
        <f t="shared" si="13"/>
        <v>6.730003586152028E-2</v>
      </c>
      <c r="K33" s="2"/>
      <c r="L33" s="7">
        <f t="shared" si="14"/>
        <v>-1810.9481874999997</v>
      </c>
      <c r="M33" s="2"/>
      <c r="N33" s="6">
        <f t="shared" si="15"/>
        <v>-0.64872771420756348</v>
      </c>
      <c r="O33" s="11"/>
      <c r="P33" s="7">
        <v>9036.57</v>
      </c>
      <c r="Q33" s="2"/>
      <c r="R33" s="6">
        <f t="shared" si="16"/>
        <v>3.1339219759525846E-2</v>
      </c>
      <c r="S33" s="2"/>
      <c r="T33" s="7">
        <v>10049.537474999999</v>
      </c>
      <c r="U33" s="2"/>
      <c r="V33" s="6">
        <f t="shared" si="17"/>
        <v>3.3690268176820026E-2</v>
      </c>
      <c r="W33" s="2"/>
      <c r="X33" s="7">
        <f t="shared" si="18"/>
        <v>-1012.9674749999995</v>
      </c>
      <c r="Y33" s="2"/>
      <c r="Z33" s="6">
        <f t="shared" si="19"/>
        <v>-0.10079742252018414</v>
      </c>
    </row>
    <row r="34" spans="1:26" s="24" customFormat="1" hidden="1" outlineLevel="2" x14ac:dyDescent="0.25">
      <c r="A34" s="27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7"/>
      <c r="B35" s="11" t="str">
        <f>CONCATENATE("          ", "6004", " - ", "STAFF HOURLY")</f>
        <v xml:space="preserve">          6004 - STAFF HOURLY</v>
      </c>
      <c r="C35" s="11"/>
      <c r="D35" s="7">
        <v>1739.5</v>
      </c>
      <c r="E35" s="2"/>
      <c r="F35" s="6">
        <f t="shared" si="12"/>
        <v>4.95909000199561E-2</v>
      </c>
      <c r="G35" s="2"/>
      <c r="H35" s="7">
        <v>2610</v>
      </c>
      <c r="I35" s="2"/>
      <c r="J35" s="6">
        <f t="shared" si="13"/>
        <v>6.2923407025241684E-2</v>
      </c>
      <c r="K35" s="2"/>
      <c r="L35" s="7">
        <f t="shared" si="14"/>
        <v>-870.5</v>
      </c>
      <c r="M35" s="2"/>
      <c r="N35" s="6">
        <f t="shared" si="15"/>
        <v>-0.33352490421455938</v>
      </c>
      <c r="O35" s="11"/>
      <c r="P35" s="7">
        <v>6649.9</v>
      </c>
      <c r="Q35" s="2"/>
      <c r="R35" s="6">
        <f t="shared" si="16"/>
        <v>2.3062143875261402E-2</v>
      </c>
      <c r="S35" s="2"/>
      <c r="T35" s="7">
        <v>9396</v>
      </c>
      <c r="U35" s="2"/>
      <c r="V35" s="6">
        <f t="shared" si="17"/>
        <v>3.1499336220884237E-2</v>
      </c>
      <c r="W35" s="2"/>
      <c r="X35" s="7">
        <f t="shared" si="18"/>
        <v>-2746.1000000000004</v>
      </c>
      <c r="Y35" s="2"/>
      <c r="Z35" s="6">
        <f t="shared" si="19"/>
        <v>-0.29226266496381442</v>
      </c>
    </row>
    <row r="36" spans="1:26" s="24" customFormat="1" hidden="1" outlineLevel="2" x14ac:dyDescent="0.25">
      <c r="A36" s="27"/>
      <c r="B36" s="11" t="str">
        <f>CONCATENATE("          ", "6005", " - ", "TEMPORARY WAGES-HOURLY")</f>
        <v xml:space="preserve">          6005 - TEMPORARY WAGES-HOURLY</v>
      </c>
      <c r="C36" s="11"/>
      <c r="D36" s="7">
        <v>8606.81</v>
      </c>
      <c r="E36" s="2"/>
      <c r="F36" s="6">
        <f t="shared" si="12"/>
        <v>0.24536904524332181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8606.81</v>
      </c>
      <c r="M36" s="2"/>
      <c r="N36" s="6">
        <f t="shared" si="15"/>
        <v>0</v>
      </c>
      <c r="O36" s="11"/>
      <c r="P36" s="7">
        <v>27449.93</v>
      </c>
      <c r="Q36" s="2"/>
      <c r="R36" s="6">
        <f t="shared" si="16"/>
        <v>9.5197557110009809E-2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27449.93</v>
      </c>
      <c r="Y36" s="2"/>
      <c r="Z36" s="6">
        <f t="shared" si="19"/>
        <v>0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7">
        <v>-884.5</v>
      </c>
      <c r="E38" s="2"/>
      <c r="F38" s="6">
        <f t="shared" si="12"/>
        <v>-2.5215953473786242E-2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-884.5</v>
      </c>
      <c r="M38" s="2"/>
      <c r="N38" s="6">
        <f t="shared" si="15"/>
        <v>0</v>
      </c>
      <c r="O38" s="11"/>
      <c r="P38" s="7">
        <v>2887.2</v>
      </c>
      <c r="Q38" s="2"/>
      <c r="R38" s="6">
        <f t="shared" si="16"/>
        <v>1.001293580304286E-2</v>
      </c>
      <c r="S38" s="2"/>
      <c r="T38" s="7">
        <v>25987.5</v>
      </c>
      <c r="U38" s="2"/>
      <c r="V38" s="6">
        <f t="shared" si="17"/>
        <v>8.7121008944255965E-2</v>
      </c>
      <c r="W38" s="2"/>
      <c r="X38" s="7">
        <f t="shared" si="18"/>
        <v>-23100.3</v>
      </c>
      <c r="Y38" s="2"/>
      <c r="Z38" s="6">
        <f t="shared" si="19"/>
        <v>-0.88890043290043286</v>
      </c>
    </row>
    <row r="39" spans="1:26" s="24" customFormat="1" hidden="1" outlineLevel="2" x14ac:dyDescent="0.2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7">
        <v>164.22</v>
      </c>
      <c r="E39" s="2"/>
      <c r="F39" s="6">
        <f t="shared" si="12"/>
        <v>4.6817002594292554E-3</v>
      </c>
      <c r="G39" s="2"/>
      <c r="H39" s="7">
        <v>13440</v>
      </c>
      <c r="I39" s="2"/>
      <c r="J39" s="6">
        <f t="shared" si="13"/>
        <v>0.32401938330239399</v>
      </c>
      <c r="K39" s="2"/>
      <c r="L39" s="7">
        <f t="shared" si="14"/>
        <v>-13275.78</v>
      </c>
      <c r="M39" s="2"/>
      <c r="N39" s="6">
        <f t="shared" si="15"/>
        <v>-0.98778125000000006</v>
      </c>
      <c r="O39" s="11"/>
      <c r="P39" s="7">
        <v>164.22</v>
      </c>
      <c r="Q39" s="2"/>
      <c r="R39" s="6">
        <f t="shared" si="16"/>
        <v>5.6952213825703054E-4</v>
      </c>
      <c r="S39" s="2"/>
      <c r="T39" s="7">
        <v>24900</v>
      </c>
      <c r="U39" s="2"/>
      <c r="V39" s="6">
        <f t="shared" si="17"/>
        <v>8.3475252437209171E-2</v>
      </c>
      <c r="W39" s="2"/>
      <c r="X39" s="7">
        <f t="shared" si="18"/>
        <v>-24735.78</v>
      </c>
      <c r="Y39" s="2"/>
      <c r="Z39" s="6">
        <f t="shared" si="19"/>
        <v>-0.99340481927710844</v>
      </c>
    </row>
    <row r="40" spans="1:26" s="24" customFormat="1" hidden="1" outlineLevel="2" x14ac:dyDescent="0.25">
      <c r="A40" s="27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7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8" customFormat="1" outlineLevel="1" collapsed="1" x14ac:dyDescent="0.25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77.180000000000007</v>
      </c>
      <c r="E42" s="1"/>
      <c r="F42" s="5">
        <f t="shared" ref="F42:F50" si="20">IF(D$12=0,0,D42/D$12)</f>
        <v>2.2003021923197538E-3</v>
      </c>
      <c r="G42" s="1"/>
      <c r="H42" s="1">
        <f>SUM(OSRRefH22_2x_0)</f>
        <v>100</v>
      </c>
      <c r="I42" s="1"/>
      <c r="J42" s="5">
        <f t="shared" ref="J42:J50" si="21">IF(H$12=0,0,H42/H$12)</f>
        <v>2.410858506714241E-3</v>
      </c>
      <c r="K42" s="1"/>
      <c r="L42" s="1">
        <f t="shared" ref="L42:L50" si="22">+D42-H42</f>
        <v>-22.819999999999993</v>
      </c>
      <c r="M42" s="1"/>
      <c r="N42" s="5">
        <f t="shared" ref="N42:N50" si="23">IF(H42=0,0,L42/H42)</f>
        <v>-0.22819999999999993</v>
      </c>
      <c r="O42" s="14"/>
      <c r="P42" s="1">
        <f>SUM(OSRRefP22_2x_0)</f>
        <v>112.46</v>
      </c>
      <c r="Q42" s="1"/>
      <c r="R42" s="5">
        <f t="shared" ref="R42:R50" si="24">IF(P$12=0,0,P42/P$12)</f>
        <v>3.9001619576413139E-4</v>
      </c>
      <c r="S42" s="1"/>
      <c r="T42" s="1">
        <f>SUM(OSRRefT22_2x_0)</f>
        <v>400</v>
      </c>
      <c r="U42" s="1"/>
      <c r="V42" s="5">
        <f t="shared" ref="V42:V50" si="25">IF(T$12=0,0,T42/T$12)</f>
        <v>1.3409679106378984E-3</v>
      </c>
      <c r="W42" s="1"/>
      <c r="X42" s="1">
        <f t="shared" ref="X42:X50" si="26">+P42-T42</f>
        <v>-287.54000000000002</v>
      </c>
      <c r="Y42" s="1"/>
      <c r="Z42" s="5">
        <f t="shared" ref="Z42:Z50" si="27">IF(T42=0,0,X42/T42)</f>
        <v>-0.7188500000000001</v>
      </c>
    </row>
    <row r="43" spans="1:26" s="24" customFormat="1" hidden="1" outlineLevel="2" x14ac:dyDescent="0.25">
      <c r="A43" s="27"/>
      <c r="B43" s="11" t="str">
        <f>CONCATENATE("          ", "6362", " - ", "ADVERTISING EXPENSE")</f>
        <v xml:space="preserve">          6362 - ADVERTISING EXPENSE</v>
      </c>
      <c r="C43" s="11"/>
      <c r="D43" s="7">
        <v>77.180000000000007</v>
      </c>
      <c r="E43" s="2"/>
      <c r="F43" s="6">
        <f t="shared" si="20"/>
        <v>2.2003021923197538E-3</v>
      </c>
      <c r="G43" s="2"/>
      <c r="H43" s="7">
        <v>100</v>
      </c>
      <c r="I43" s="2"/>
      <c r="J43" s="6">
        <f t="shared" si="21"/>
        <v>2.410858506714241E-3</v>
      </c>
      <c r="K43" s="2"/>
      <c r="L43" s="7">
        <f t="shared" si="22"/>
        <v>-22.819999999999993</v>
      </c>
      <c r="M43" s="2"/>
      <c r="N43" s="6">
        <f t="shared" si="23"/>
        <v>-0.22819999999999993</v>
      </c>
      <c r="O43" s="11"/>
      <c r="P43" s="7">
        <v>112.46</v>
      </c>
      <c r="Q43" s="2"/>
      <c r="R43" s="6">
        <f t="shared" si="24"/>
        <v>3.9001619576413139E-4</v>
      </c>
      <c r="S43" s="2"/>
      <c r="T43" s="7">
        <v>400</v>
      </c>
      <c r="U43" s="2"/>
      <c r="V43" s="6">
        <f t="shared" si="25"/>
        <v>1.3409679106378984E-3</v>
      </c>
      <c r="W43" s="2"/>
      <c r="X43" s="7">
        <f t="shared" si="26"/>
        <v>-287.54000000000002</v>
      </c>
      <c r="Y43" s="2"/>
      <c r="Z43" s="6">
        <f t="shared" si="27"/>
        <v>-0.7188500000000001</v>
      </c>
    </row>
    <row r="44" spans="1:26" s="28" customFormat="1" outlineLevel="1" collapsed="1" x14ac:dyDescent="0.25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330.9</v>
      </c>
      <c r="E44" s="1"/>
      <c r="F44" s="5">
        <f t="shared" si="20"/>
        <v>9.4335319440088938E-3</v>
      </c>
      <c r="G44" s="1"/>
      <c r="H44" s="1">
        <f>SUM(OSRRefH22_3x_0)</f>
        <v>1250</v>
      </c>
      <c r="I44" s="1"/>
      <c r="J44" s="5">
        <f t="shared" si="21"/>
        <v>3.0135731333928013E-2</v>
      </c>
      <c r="K44" s="1"/>
      <c r="L44" s="1">
        <f t="shared" si="22"/>
        <v>-919.1</v>
      </c>
      <c r="M44" s="1"/>
      <c r="N44" s="5">
        <f t="shared" si="23"/>
        <v>-0.73528000000000004</v>
      </c>
      <c r="O44" s="14"/>
      <c r="P44" s="1">
        <f>SUM(OSRRefP22_3x_0)</f>
        <v>1303.1099999999999</v>
      </c>
      <c r="Q44" s="1"/>
      <c r="R44" s="5">
        <f t="shared" si="24"/>
        <v>4.5192424405317202E-3</v>
      </c>
      <c r="S44" s="1"/>
      <c r="T44" s="1">
        <f>SUM(OSRRefT22_3x_0)</f>
        <v>5000</v>
      </c>
      <c r="U44" s="1"/>
      <c r="V44" s="5">
        <f t="shared" si="25"/>
        <v>1.6762098882973732E-2</v>
      </c>
      <c r="W44" s="1"/>
      <c r="X44" s="1">
        <f t="shared" si="26"/>
        <v>-3696.8900000000003</v>
      </c>
      <c r="Y44" s="1"/>
      <c r="Z44" s="5">
        <f t="shared" si="27"/>
        <v>-0.73937800000000009</v>
      </c>
    </row>
    <row r="45" spans="1:26" s="24" customFormat="1" hidden="1" outlineLevel="2" x14ac:dyDescent="0.25">
      <c r="A45" s="27"/>
      <c r="B45" s="11" t="str">
        <f>CONCATENATE("          ", "6381", " - ", "BANK/CREDIT CARD FEES")</f>
        <v xml:space="preserve">          6381 - BANK/CREDIT CARD FEES</v>
      </c>
      <c r="C45" s="11"/>
      <c r="D45" s="7">
        <v>330.9</v>
      </c>
      <c r="E45" s="2"/>
      <c r="F45" s="6">
        <f t="shared" si="20"/>
        <v>9.4335319440088938E-3</v>
      </c>
      <c r="G45" s="2"/>
      <c r="H45" s="7">
        <v>1250</v>
      </c>
      <c r="I45" s="2"/>
      <c r="J45" s="6">
        <f t="shared" si="21"/>
        <v>3.0135731333928013E-2</v>
      </c>
      <c r="K45" s="2"/>
      <c r="L45" s="7">
        <f t="shared" si="22"/>
        <v>-919.1</v>
      </c>
      <c r="M45" s="2"/>
      <c r="N45" s="6">
        <f t="shared" si="23"/>
        <v>-0.73528000000000004</v>
      </c>
      <c r="O45" s="11"/>
      <c r="P45" s="7">
        <v>1303.1099999999999</v>
      </c>
      <c r="Q45" s="2"/>
      <c r="R45" s="6">
        <f t="shared" si="24"/>
        <v>4.5192424405317202E-3</v>
      </c>
      <c r="S45" s="2"/>
      <c r="T45" s="7">
        <v>5000</v>
      </c>
      <c r="U45" s="2"/>
      <c r="V45" s="6">
        <f t="shared" si="25"/>
        <v>1.6762098882973732E-2</v>
      </c>
      <c r="W45" s="2"/>
      <c r="X45" s="7">
        <f t="shared" si="26"/>
        <v>-3696.8900000000003</v>
      </c>
      <c r="Y45" s="2"/>
      <c r="Z45" s="6">
        <f t="shared" si="27"/>
        <v>-0.73937800000000009</v>
      </c>
    </row>
    <row r="46" spans="1:26" s="28" customFormat="1" outlineLevel="1" collapsed="1" x14ac:dyDescent="0.25">
      <c r="A46" s="29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4.8217170134284821E-4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80</v>
      </c>
      <c r="U46" s="1"/>
      <c r="V46" s="5">
        <f t="shared" si="25"/>
        <v>2.6819358212757971E-4</v>
      </c>
      <c r="W46" s="1"/>
      <c r="X46" s="1">
        <f t="shared" si="26"/>
        <v>-80</v>
      </c>
      <c r="Y46" s="1"/>
      <c r="Z46" s="5">
        <f t="shared" si="27"/>
        <v>-1</v>
      </c>
    </row>
    <row r="47" spans="1:26" s="24" customFormat="1" hidden="1" outlineLevel="2" x14ac:dyDescent="0.25">
      <c r="A47" s="27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4.8217170134284821E-4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80</v>
      </c>
      <c r="U47" s="2"/>
      <c r="V47" s="6">
        <f t="shared" si="25"/>
        <v>2.6819358212757971E-4</v>
      </c>
      <c r="W47" s="2"/>
      <c r="X47" s="7">
        <f t="shared" si="26"/>
        <v>-80</v>
      </c>
      <c r="Y47" s="2"/>
      <c r="Z47" s="6">
        <f t="shared" si="27"/>
        <v>-1</v>
      </c>
    </row>
    <row r="48" spans="1:26" s="28" customFormat="1" outlineLevel="1" collapsed="1" x14ac:dyDescent="0.25">
      <c r="A48" s="29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0.31</v>
      </c>
      <c r="E48" s="1"/>
      <c r="F48" s="5">
        <f t="shared" si="20"/>
        <v>8.8376999173247428E-6</v>
      </c>
      <c r="G48" s="1"/>
      <c r="H48" s="1">
        <f>SUM(OSRRefH22_5x_0)</f>
        <v>10</v>
      </c>
      <c r="I48" s="1"/>
      <c r="J48" s="5">
        <f t="shared" si="21"/>
        <v>2.410858506714241E-4</v>
      </c>
      <c r="K48" s="1"/>
      <c r="L48" s="1">
        <f t="shared" si="22"/>
        <v>-9.69</v>
      </c>
      <c r="M48" s="1"/>
      <c r="N48" s="5">
        <f t="shared" si="23"/>
        <v>-0.96899999999999997</v>
      </c>
      <c r="O48" s="14"/>
      <c r="P48" s="1">
        <f>SUM(OSRRefP22_5x_0)</f>
        <v>0.62</v>
      </c>
      <c r="Q48" s="1"/>
      <c r="R48" s="5">
        <f t="shared" si="24"/>
        <v>2.1501871009582204E-6</v>
      </c>
      <c r="S48" s="1"/>
      <c r="T48" s="1">
        <f>SUM(OSRRefT22_5x_0)</f>
        <v>40</v>
      </c>
      <c r="U48" s="1"/>
      <c r="V48" s="5">
        <f t="shared" si="25"/>
        <v>1.3409679106378986E-4</v>
      </c>
      <c r="W48" s="1"/>
      <c r="X48" s="1">
        <f t="shared" si="26"/>
        <v>-39.380000000000003</v>
      </c>
      <c r="Y48" s="1"/>
      <c r="Z48" s="5">
        <f t="shared" si="27"/>
        <v>-0.98450000000000004</v>
      </c>
    </row>
    <row r="49" spans="1:26" s="24" customFormat="1" hidden="1" outlineLevel="2" x14ac:dyDescent="0.25">
      <c r="A49" s="27"/>
      <c r="B49" s="11" t="str">
        <f>CONCATENATE("          ", "6305", " - ", "FREIGHT OUT")</f>
        <v xml:space="preserve">          6305 - FREIGHT OUT</v>
      </c>
      <c r="C49" s="11"/>
      <c r="D49" s="7">
        <v>0.31</v>
      </c>
      <c r="E49" s="2"/>
      <c r="F49" s="6">
        <f t="shared" si="20"/>
        <v>8.8376999173247428E-6</v>
      </c>
      <c r="G49" s="2"/>
      <c r="H49" s="7"/>
      <c r="I49" s="2"/>
      <c r="J49" s="6">
        <f t="shared" si="21"/>
        <v>0</v>
      </c>
      <c r="K49" s="2"/>
      <c r="L49" s="7">
        <f t="shared" si="22"/>
        <v>0.31</v>
      </c>
      <c r="M49" s="2"/>
      <c r="N49" s="6">
        <f t="shared" si="23"/>
        <v>0</v>
      </c>
      <c r="O49" s="11"/>
      <c r="P49" s="7">
        <v>0.62</v>
      </c>
      <c r="Q49" s="2"/>
      <c r="R49" s="6">
        <f t="shared" si="24"/>
        <v>2.1501871009582204E-6</v>
      </c>
      <c r="S49" s="2"/>
      <c r="T49" s="7"/>
      <c r="U49" s="2"/>
      <c r="V49" s="6">
        <f t="shared" si="25"/>
        <v>0</v>
      </c>
      <c r="W49" s="2"/>
      <c r="X49" s="7">
        <f t="shared" si="26"/>
        <v>0.62</v>
      </c>
      <c r="Y49" s="2"/>
      <c r="Z49" s="6">
        <f t="shared" si="27"/>
        <v>0</v>
      </c>
    </row>
    <row r="50" spans="1:26" s="24" customFormat="1" hidden="1" outlineLevel="2" x14ac:dyDescent="0.25">
      <c r="A50" s="27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2.410858506714241E-4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/>
      <c r="Q50" s="2"/>
      <c r="R50" s="6">
        <f t="shared" si="24"/>
        <v>0</v>
      </c>
      <c r="S50" s="2"/>
      <c r="T50" s="7">
        <v>40</v>
      </c>
      <c r="U50" s="2"/>
      <c r="V50" s="6">
        <f t="shared" si="25"/>
        <v>1.3409679106378986E-4</v>
      </c>
      <c r="W50" s="2"/>
      <c r="X50" s="7">
        <f t="shared" si="26"/>
        <v>-40</v>
      </c>
      <c r="Y50" s="2"/>
      <c r="Z50" s="6">
        <f t="shared" si="27"/>
        <v>-1</v>
      </c>
    </row>
    <row r="51" spans="1:26" s="28" customFormat="1" outlineLevel="1" collapsed="1" x14ac:dyDescent="0.25">
      <c r="A51" s="29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0" si="28">IF(D$12=0,0,D51/D$12)</f>
        <v>0</v>
      </c>
      <c r="G51" s="1"/>
      <c r="H51" s="1">
        <f>SUM(OSRRefH22_6x_0)</f>
        <v>50</v>
      </c>
      <c r="I51" s="1"/>
      <c r="J51" s="5">
        <f t="shared" ref="J51:J60" si="29">IF(H$12=0,0,H51/H$12)</f>
        <v>1.2054292533571205E-3</v>
      </c>
      <c r="K51" s="1"/>
      <c r="L51" s="1">
        <f t="shared" ref="L51:L60" si="30">+D51-H51</f>
        <v>-50</v>
      </c>
      <c r="M51" s="1"/>
      <c r="N51" s="5">
        <f t="shared" ref="N51:N60" si="31">IF(H51=0,0,L51/H51)</f>
        <v>-1</v>
      </c>
      <c r="O51" s="14"/>
      <c r="P51" s="1">
        <f>SUM(OSRRefP22_6x_0)</f>
        <v>0</v>
      </c>
      <c r="Q51" s="1"/>
      <c r="R51" s="5">
        <f t="shared" ref="R51:R60" si="32">IF(P$12=0,0,P51/P$12)</f>
        <v>0</v>
      </c>
      <c r="S51" s="1"/>
      <c r="T51" s="1">
        <f>SUM(OSRRefT22_6x_0)</f>
        <v>200</v>
      </c>
      <c r="U51" s="1"/>
      <c r="V51" s="5">
        <f t="shared" ref="V51:V60" si="33">IF(T$12=0,0,T51/T$12)</f>
        <v>6.704839553189492E-4</v>
      </c>
      <c r="W51" s="1"/>
      <c r="X51" s="1">
        <f t="shared" ref="X51:X60" si="34">+P51-T51</f>
        <v>-200</v>
      </c>
      <c r="Y51" s="1"/>
      <c r="Z51" s="5">
        <f t="shared" ref="Z51:Z60" si="35">IF(T51=0,0,X51/T51)</f>
        <v>-1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1.2054292533571205E-3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200</v>
      </c>
      <c r="U52" s="2"/>
      <c r="V52" s="6">
        <f t="shared" si="33"/>
        <v>6.704839553189492E-4</v>
      </c>
      <c r="W52" s="2"/>
      <c r="X52" s="7">
        <f t="shared" si="34"/>
        <v>-200</v>
      </c>
      <c r="Y52" s="2"/>
      <c r="Z52" s="6">
        <f t="shared" si="35"/>
        <v>-1</v>
      </c>
    </row>
    <row r="53" spans="1:26" s="28" customFormat="1" outlineLevel="1" collapsed="1" x14ac:dyDescent="0.25">
      <c r="A53" s="29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39.43</v>
      </c>
      <c r="E53" s="1"/>
      <c r="F53" s="5">
        <f t="shared" si="28"/>
        <v>1.1240984120648857E-3</v>
      </c>
      <c r="G53" s="1"/>
      <c r="H53" s="1">
        <f>SUM(OSRRefH22_7x_0)</f>
        <v>40</v>
      </c>
      <c r="I53" s="1"/>
      <c r="J53" s="5">
        <f t="shared" si="29"/>
        <v>9.6434340268569641E-4</v>
      </c>
      <c r="K53" s="1"/>
      <c r="L53" s="1">
        <f t="shared" si="30"/>
        <v>-0.57000000000000028</v>
      </c>
      <c r="M53" s="1"/>
      <c r="N53" s="5">
        <f t="shared" si="31"/>
        <v>-1.4250000000000007E-2</v>
      </c>
      <c r="O53" s="14"/>
      <c r="P53" s="1">
        <f>SUM(OSRRefP22_7x_0)</f>
        <v>157.72</v>
      </c>
      <c r="Q53" s="1"/>
      <c r="R53" s="5">
        <f t="shared" si="32"/>
        <v>5.4697985413408145E-4</v>
      </c>
      <c r="S53" s="1"/>
      <c r="T53" s="1">
        <f>SUM(OSRRefT22_7x_0)</f>
        <v>160</v>
      </c>
      <c r="U53" s="1"/>
      <c r="V53" s="5">
        <f t="shared" si="33"/>
        <v>5.3638716425515943E-4</v>
      </c>
      <c r="W53" s="1"/>
      <c r="X53" s="1">
        <f t="shared" si="34"/>
        <v>-2.2800000000000011</v>
      </c>
      <c r="Y53" s="1"/>
      <c r="Z53" s="5">
        <f t="shared" si="35"/>
        <v>-1.4250000000000007E-2</v>
      </c>
    </row>
    <row r="54" spans="1:26" s="24" customFormat="1" hidden="1" outlineLevel="2" x14ac:dyDescent="0.25">
      <c r="A54" s="27"/>
      <c r="B54" s="11" t="str">
        <f>CONCATENATE("          ", "6314", " - ", "LIABILITY INSURANCE")</f>
        <v xml:space="preserve">          6314 - LIABILITY INSURANCE</v>
      </c>
      <c r="C54" s="11"/>
      <c r="D54" s="7">
        <v>39.43</v>
      </c>
      <c r="E54" s="2"/>
      <c r="F54" s="6">
        <f t="shared" si="28"/>
        <v>1.1240984120648857E-3</v>
      </c>
      <c r="G54" s="2"/>
      <c r="H54" s="7">
        <v>40</v>
      </c>
      <c r="I54" s="2"/>
      <c r="J54" s="6">
        <f t="shared" si="29"/>
        <v>9.6434340268569641E-4</v>
      </c>
      <c r="K54" s="2"/>
      <c r="L54" s="7">
        <f t="shared" si="30"/>
        <v>-0.57000000000000028</v>
      </c>
      <c r="M54" s="2"/>
      <c r="N54" s="6">
        <f t="shared" si="31"/>
        <v>-1.4250000000000007E-2</v>
      </c>
      <c r="O54" s="11"/>
      <c r="P54" s="7">
        <v>157.72</v>
      </c>
      <c r="Q54" s="2"/>
      <c r="R54" s="6">
        <f t="shared" si="32"/>
        <v>5.4697985413408145E-4</v>
      </c>
      <c r="S54" s="2"/>
      <c r="T54" s="7">
        <v>160</v>
      </c>
      <c r="U54" s="2"/>
      <c r="V54" s="6">
        <f t="shared" si="33"/>
        <v>5.3638716425515943E-4</v>
      </c>
      <c r="W54" s="2"/>
      <c r="X54" s="7">
        <f t="shared" si="34"/>
        <v>-2.2800000000000011</v>
      </c>
      <c r="Y54" s="2"/>
      <c r="Z54" s="6">
        <f t="shared" si="35"/>
        <v>-1.4250000000000007E-2</v>
      </c>
    </row>
    <row r="55" spans="1:26" s="28" customFormat="1" outlineLevel="1" collapsed="1" x14ac:dyDescent="0.25">
      <c r="A55" s="29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2.2806967528579983E-2</v>
      </c>
      <c r="G55" s="1"/>
      <c r="H55" s="1">
        <f>SUM(OSRRefH22_8x_0)</f>
        <v>800</v>
      </c>
      <c r="I55" s="1"/>
      <c r="J55" s="5">
        <f t="shared" si="29"/>
        <v>1.9286868053713928E-2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3200</v>
      </c>
      <c r="Q55" s="1"/>
      <c r="R55" s="5">
        <f t="shared" si="32"/>
        <v>1.1097739875913396E-2</v>
      </c>
      <c r="S55" s="1"/>
      <c r="T55" s="1">
        <f>SUM(OSRRefT22_8x_0)</f>
        <v>3200</v>
      </c>
      <c r="U55" s="1"/>
      <c r="V55" s="5">
        <f t="shared" si="33"/>
        <v>1.0727743285103187E-2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7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2.2806967528579983E-2</v>
      </c>
      <c r="G56" s="2"/>
      <c r="H56" s="7">
        <v>800</v>
      </c>
      <c r="I56" s="2"/>
      <c r="J56" s="6">
        <f t="shared" si="29"/>
        <v>1.9286868053713928E-2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3200</v>
      </c>
      <c r="Q56" s="2"/>
      <c r="R56" s="6">
        <f t="shared" si="32"/>
        <v>1.1097739875913396E-2</v>
      </c>
      <c r="S56" s="2"/>
      <c r="T56" s="7">
        <v>3200</v>
      </c>
      <c r="U56" s="2"/>
      <c r="V56" s="6">
        <f t="shared" si="33"/>
        <v>1.0727743285103187E-2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8" customFormat="1" outlineLevel="1" collapsed="1" x14ac:dyDescent="0.25">
      <c r="A57" s="29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3200</v>
      </c>
      <c r="I57" s="1"/>
      <c r="J57" s="5">
        <f t="shared" si="29"/>
        <v>7.7147472214855711E-2</v>
      </c>
      <c r="K57" s="1"/>
      <c r="L57" s="1">
        <f t="shared" si="30"/>
        <v>-3200</v>
      </c>
      <c r="M57" s="1"/>
      <c r="N57" s="5">
        <f t="shared" si="31"/>
        <v>-1</v>
      </c>
      <c r="O57" s="14"/>
      <c r="P57" s="1">
        <f>SUM(OSRRefP22_9x_0)</f>
        <v>122000.62</v>
      </c>
      <c r="Q57" s="1"/>
      <c r="R57" s="5">
        <f t="shared" si="32"/>
        <v>0.42310348295629918</v>
      </c>
      <c r="S57" s="1"/>
      <c r="T57" s="1">
        <f>SUM(OSRRefT22_9x_0)</f>
        <v>137800</v>
      </c>
      <c r="U57" s="1"/>
      <c r="V57" s="5">
        <f t="shared" si="33"/>
        <v>0.46196344521475602</v>
      </c>
      <c r="W57" s="1"/>
      <c r="X57" s="1">
        <f t="shared" si="34"/>
        <v>-15799.380000000005</v>
      </c>
      <c r="Y57" s="1"/>
      <c r="Z57" s="5">
        <f t="shared" si="35"/>
        <v>-0.11465442670537014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125000</v>
      </c>
      <c r="U58" s="2"/>
      <c r="V58" s="6">
        <f t="shared" si="33"/>
        <v>0.41905247207434326</v>
      </c>
      <c r="W58" s="2"/>
      <c r="X58" s="7">
        <f t="shared" si="34"/>
        <v>-125000</v>
      </c>
      <c r="Y58" s="2"/>
      <c r="Z58" s="6">
        <f t="shared" si="35"/>
        <v>-1</v>
      </c>
    </row>
    <row r="59" spans="1:26" s="24" customFormat="1" hidden="1" outlineLevel="2" x14ac:dyDescent="0.25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8"/>
        <v>0</v>
      </c>
      <c r="G59" s="2"/>
      <c r="H59" s="7">
        <v>3200</v>
      </c>
      <c r="I59" s="2"/>
      <c r="J59" s="6">
        <f t="shared" si="29"/>
        <v>7.7147472214855711E-2</v>
      </c>
      <c r="K59" s="2"/>
      <c r="L59" s="7">
        <f t="shared" si="30"/>
        <v>-3200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12800</v>
      </c>
      <c r="U59" s="2"/>
      <c r="V59" s="6">
        <f t="shared" si="33"/>
        <v>4.2910973140412749E-2</v>
      </c>
      <c r="W59" s="2"/>
      <c r="X59" s="7">
        <f t="shared" si="34"/>
        <v>-12800</v>
      </c>
      <c r="Y59" s="2"/>
      <c r="Z59" s="6">
        <f t="shared" si="35"/>
        <v>-1</v>
      </c>
    </row>
    <row r="60" spans="1:26" s="24" customFormat="1" hidden="1" outlineLevel="2" x14ac:dyDescent="0.25">
      <c r="A60" s="27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122000.62</v>
      </c>
      <c r="Q60" s="2"/>
      <c r="R60" s="6">
        <f t="shared" si="32"/>
        <v>0.42310348295629918</v>
      </c>
      <c r="S60" s="2"/>
      <c r="T60" s="7"/>
      <c r="U60" s="2"/>
      <c r="V60" s="6">
        <f t="shared" si="33"/>
        <v>0</v>
      </c>
      <c r="W60" s="2"/>
      <c r="X60" s="7">
        <f t="shared" si="34"/>
        <v>122000.62</v>
      </c>
      <c r="Y60" s="2"/>
      <c r="Z60" s="6">
        <f t="shared" si="35"/>
        <v>0</v>
      </c>
    </row>
    <row r="61" spans="1:26" s="28" customFormat="1" outlineLevel="1" collapsed="1" x14ac:dyDescent="0.25">
      <c r="A61" s="29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SUM(OSRRefD22_10x_0)</f>
        <v>0</v>
      </c>
      <c r="E61" s="1"/>
      <c r="F61" s="5">
        <f t="shared" ref="F61:F66" si="36">IF(D$12=0,0,D61/D$12)</f>
        <v>0</v>
      </c>
      <c r="G61" s="1"/>
      <c r="H61" s="1">
        <f>SUM(OSRRefH22_10x_0)</f>
        <v>85</v>
      </c>
      <c r="I61" s="1"/>
      <c r="J61" s="5">
        <f t="shared" ref="J61:J66" si="37">IF(H$12=0,0,H61/H$12)</f>
        <v>2.0492297307071047E-3</v>
      </c>
      <c r="K61" s="1"/>
      <c r="L61" s="1">
        <f t="shared" ref="L61:L66" si="38">+D61-H61</f>
        <v>-85</v>
      </c>
      <c r="M61" s="1"/>
      <c r="N61" s="5">
        <f t="shared" ref="N61:N66" si="39">IF(H61=0,0,L61/H61)</f>
        <v>-1</v>
      </c>
      <c r="O61" s="14"/>
      <c r="P61" s="1">
        <f>SUM(OSRRefP22_10x_0)</f>
        <v>0</v>
      </c>
      <c r="Q61" s="1"/>
      <c r="R61" s="5">
        <f t="shared" ref="R61:R66" si="40">IF(P$12=0,0,P61/P$12)</f>
        <v>0</v>
      </c>
      <c r="S61" s="1"/>
      <c r="T61" s="1">
        <f>SUM(OSRRefT22_10x_0)</f>
        <v>340</v>
      </c>
      <c r="U61" s="1"/>
      <c r="V61" s="5">
        <f t="shared" ref="V61:V66" si="41">IF(T$12=0,0,T61/T$12)</f>
        <v>1.1398227240422137E-3</v>
      </c>
      <c r="W61" s="1"/>
      <c r="X61" s="1">
        <f t="shared" ref="X61:X66" si="42">+P61-T61</f>
        <v>-340</v>
      </c>
      <c r="Y61" s="1"/>
      <c r="Z61" s="5">
        <f t="shared" ref="Z61:Z66" si="43">IF(T61=0,0,X61/T61)</f>
        <v>-1</v>
      </c>
    </row>
    <row r="62" spans="1:26" s="24" customFormat="1" hidden="1" outlineLevel="2" x14ac:dyDescent="0.25">
      <c r="A62" s="27"/>
      <c r="B62" s="11" t="str">
        <f>CONCATENATE("          ", "6258", " - ", "MEMBERSHIP DUES")</f>
        <v xml:space="preserve">          6258 - MEMBERSHIP DUES</v>
      </c>
      <c r="C62" s="11"/>
      <c r="D62" s="7"/>
      <c r="E62" s="2"/>
      <c r="F62" s="6">
        <f t="shared" si="36"/>
        <v>0</v>
      </c>
      <c r="G62" s="2"/>
      <c r="H62" s="7">
        <v>85</v>
      </c>
      <c r="I62" s="2"/>
      <c r="J62" s="6">
        <f t="shared" si="37"/>
        <v>2.0492297307071047E-3</v>
      </c>
      <c r="K62" s="2"/>
      <c r="L62" s="7">
        <f t="shared" si="38"/>
        <v>-85</v>
      </c>
      <c r="M62" s="2"/>
      <c r="N62" s="6">
        <f t="shared" si="39"/>
        <v>-1</v>
      </c>
      <c r="O62" s="11"/>
      <c r="P62" s="7"/>
      <c r="Q62" s="2"/>
      <c r="R62" s="6">
        <f t="shared" si="40"/>
        <v>0</v>
      </c>
      <c r="S62" s="2"/>
      <c r="T62" s="7">
        <v>340</v>
      </c>
      <c r="U62" s="2"/>
      <c r="V62" s="6">
        <f t="shared" si="41"/>
        <v>1.1398227240422137E-3</v>
      </c>
      <c r="W62" s="2"/>
      <c r="X62" s="7">
        <f t="shared" si="42"/>
        <v>-340</v>
      </c>
      <c r="Y62" s="2"/>
      <c r="Z62" s="6">
        <f t="shared" si="43"/>
        <v>-1</v>
      </c>
    </row>
    <row r="63" spans="1:26" s="28" customFormat="1" outlineLevel="1" collapsed="1" x14ac:dyDescent="0.25">
      <c r="A63" s="29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SUM(OSRRefD22_11x_0)</f>
        <v>13312.42</v>
      </c>
      <c r="E63" s="1"/>
      <c r="F63" s="5">
        <f t="shared" si="36"/>
        <v>0.37951991333352342</v>
      </c>
      <c r="G63" s="1"/>
      <c r="H63" s="1">
        <f>SUM(OSRRefH22_11x_0)</f>
        <v>5800</v>
      </c>
      <c r="I63" s="1"/>
      <c r="J63" s="5">
        <f t="shared" si="37"/>
        <v>0.13982979338942597</v>
      </c>
      <c r="K63" s="1"/>
      <c r="L63" s="1">
        <f t="shared" si="38"/>
        <v>7512.42</v>
      </c>
      <c r="M63" s="1"/>
      <c r="N63" s="5">
        <f t="shared" si="39"/>
        <v>1.295244827586207</v>
      </c>
      <c r="O63" s="14"/>
      <c r="P63" s="1">
        <f>SUM(OSRRefP22_11x_0)</f>
        <v>15289.080000000002</v>
      </c>
      <c r="Q63" s="1"/>
      <c r="R63" s="5">
        <f t="shared" si="40"/>
        <v>5.3023197744384375E-2</v>
      </c>
      <c r="S63" s="1"/>
      <c r="T63" s="1">
        <f>SUM(OSRRefT22_11x_0)</f>
        <v>23200</v>
      </c>
      <c r="U63" s="1"/>
      <c r="V63" s="5">
        <f t="shared" si="41"/>
        <v>7.7776138816998103E-2</v>
      </c>
      <c r="W63" s="1"/>
      <c r="X63" s="1">
        <f t="shared" si="42"/>
        <v>-7910.9199999999983</v>
      </c>
      <c r="Y63" s="1"/>
      <c r="Z63" s="5">
        <f t="shared" si="43"/>
        <v>-0.34098793103448266</v>
      </c>
    </row>
    <row r="64" spans="1:26" s="24" customFormat="1" hidden="1" outlineLevel="2" x14ac:dyDescent="0.25">
      <c r="A64" s="27"/>
      <c r="B64" s="11" t="str">
        <f>CONCATENATE("          ", "6234", " - ", "EXPENDABLE SUPPLIES &amp; EQUIPMEN")</f>
        <v xml:space="preserve">          6234 - EXPENDABLE SUPPLIES &amp; EQUIPMEN</v>
      </c>
      <c r="C64" s="11"/>
      <c r="D64" s="7"/>
      <c r="E64" s="2"/>
      <c r="F64" s="6">
        <f t="shared" si="36"/>
        <v>0</v>
      </c>
      <c r="G64" s="2"/>
      <c r="H64" s="7">
        <v>5800</v>
      </c>
      <c r="I64" s="2"/>
      <c r="J64" s="6">
        <f t="shared" si="37"/>
        <v>0.13982979338942597</v>
      </c>
      <c r="K64" s="2"/>
      <c r="L64" s="7">
        <f t="shared" si="38"/>
        <v>-5800</v>
      </c>
      <c r="M64" s="2"/>
      <c r="N64" s="6">
        <f t="shared" si="39"/>
        <v>-1</v>
      </c>
      <c r="O64" s="11"/>
      <c r="P64" s="7"/>
      <c r="Q64" s="2"/>
      <c r="R64" s="6">
        <f t="shared" si="40"/>
        <v>0</v>
      </c>
      <c r="S64" s="2"/>
      <c r="T64" s="7">
        <v>23200</v>
      </c>
      <c r="U64" s="2"/>
      <c r="V64" s="6">
        <f t="shared" si="41"/>
        <v>7.7776138816998103E-2</v>
      </c>
      <c r="W64" s="2"/>
      <c r="X64" s="7">
        <f t="shared" si="42"/>
        <v>-23200</v>
      </c>
      <c r="Y64" s="2"/>
      <c r="Z64" s="6">
        <f t="shared" si="43"/>
        <v>-1</v>
      </c>
    </row>
    <row r="65" spans="1:26" s="24" customFormat="1" hidden="1" outlineLevel="2" x14ac:dyDescent="0.25">
      <c r="A65" s="27"/>
      <c r="B65" s="11" t="str">
        <f>CONCATENATE("          ", "6241", " - ", "OFFICE EXPENSE")</f>
        <v xml:space="preserve">          6241 - OFFICE EXPENSE</v>
      </c>
      <c r="C65" s="11"/>
      <c r="D65" s="7">
        <v>13295.88</v>
      </c>
      <c r="E65" s="2"/>
      <c r="F65" s="6">
        <f t="shared" si="36"/>
        <v>0.37904837927986995</v>
      </c>
      <c r="G65" s="2"/>
      <c r="H65" s="7"/>
      <c r="I65" s="2"/>
      <c r="J65" s="6">
        <f t="shared" si="37"/>
        <v>0</v>
      </c>
      <c r="K65" s="2"/>
      <c r="L65" s="7">
        <f t="shared" si="38"/>
        <v>13295.88</v>
      </c>
      <c r="M65" s="2"/>
      <c r="N65" s="6">
        <f t="shared" si="39"/>
        <v>0</v>
      </c>
      <c r="O65" s="11"/>
      <c r="P65" s="7">
        <v>15272.54</v>
      </c>
      <c r="Q65" s="2"/>
      <c r="R65" s="6">
        <f t="shared" si="40"/>
        <v>5.2965836301400747E-2</v>
      </c>
      <c r="S65" s="2"/>
      <c r="T65" s="7"/>
      <c r="U65" s="2"/>
      <c r="V65" s="6">
        <f t="shared" si="41"/>
        <v>0</v>
      </c>
      <c r="W65" s="2"/>
      <c r="X65" s="7">
        <f t="shared" si="42"/>
        <v>15272.54</v>
      </c>
      <c r="Y65" s="2"/>
      <c r="Z65" s="6">
        <f t="shared" si="43"/>
        <v>0</v>
      </c>
    </row>
    <row r="66" spans="1:26" s="24" customFormat="1" hidden="1" outlineLevel="2" x14ac:dyDescent="0.25">
      <c r="A66" s="27"/>
      <c r="B66" s="11" t="str">
        <f>CONCATENATE("          ", "6247", " - ", "STORE SUPPLIES")</f>
        <v xml:space="preserve">          6247 - STORE SUPPLIES</v>
      </c>
      <c r="C66" s="11"/>
      <c r="D66" s="7">
        <v>16.54</v>
      </c>
      <c r="E66" s="2"/>
      <c r="F66" s="6">
        <f t="shared" si="36"/>
        <v>4.715340536533911E-4</v>
      </c>
      <c r="G66" s="2"/>
      <c r="H66" s="7"/>
      <c r="I66" s="2"/>
      <c r="J66" s="6">
        <f t="shared" si="37"/>
        <v>0</v>
      </c>
      <c r="K66" s="2"/>
      <c r="L66" s="7">
        <f t="shared" si="38"/>
        <v>16.54</v>
      </c>
      <c r="M66" s="2"/>
      <c r="N66" s="6">
        <f t="shared" si="39"/>
        <v>0</v>
      </c>
      <c r="O66" s="11"/>
      <c r="P66" s="7">
        <v>16.54</v>
      </c>
      <c r="Q66" s="2"/>
      <c r="R66" s="6">
        <f t="shared" si="40"/>
        <v>5.7361442983627362E-5</v>
      </c>
      <c r="S66" s="2"/>
      <c r="T66" s="7"/>
      <c r="U66" s="2"/>
      <c r="V66" s="6">
        <f t="shared" si="41"/>
        <v>0</v>
      </c>
      <c r="W66" s="2"/>
      <c r="X66" s="7">
        <f t="shared" si="42"/>
        <v>16.54</v>
      </c>
      <c r="Y66" s="2"/>
      <c r="Z66" s="6">
        <f t="shared" si="43"/>
        <v>0</v>
      </c>
    </row>
    <row r="67" spans="1:26" s="28" customFormat="1" outlineLevel="1" collapsed="1" x14ac:dyDescent="0.25">
      <c r="A67" s="29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87.3</v>
      </c>
      <c r="E67" s="1"/>
      <c r="F67" s="5">
        <f t="shared" ref="F67:F70" si="44">IF(D$12=0,0,D67/D$12)</f>
        <v>2.4888103315562904E-3</v>
      </c>
      <c r="G67" s="1"/>
      <c r="H67" s="1">
        <f>SUM(OSRRefH22_12x_0)</f>
        <v>350</v>
      </c>
      <c r="I67" s="1"/>
      <c r="J67" s="5">
        <f t="shared" ref="J67:J70" si="45">IF(H$12=0,0,H67/H$12)</f>
        <v>8.438004773499843E-3</v>
      </c>
      <c r="K67" s="1"/>
      <c r="L67" s="1">
        <f t="shared" ref="L67:L70" si="46">+D67-H67</f>
        <v>-262.7</v>
      </c>
      <c r="M67" s="1"/>
      <c r="N67" s="5">
        <f t="shared" ref="N67:N70" si="47">IF(H67=0,0,L67/H67)</f>
        <v>-0.75057142857142856</v>
      </c>
      <c r="O67" s="14"/>
      <c r="P67" s="1">
        <f>SUM(OSRRefP22_12x_0)</f>
        <v>-76</v>
      </c>
      <c r="Q67" s="1"/>
      <c r="R67" s="5">
        <f t="shared" ref="R67:R70" si="48">IF(P$12=0,0,P67/P$12)</f>
        <v>-2.6357132205294317E-4</v>
      </c>
      <c r="S67" s="1"/>
      <c r="T67" s="1">
        <f>SUM(OSRRefT22_12x_0)</f>
        <v>1400</v>
      </c>
      <c r="U67" s="1"/>
      <c r="V67" s="5">
        <f t="shared" ref="V67:V70" si="49">IF(T$12=0,0,T67/T$12)</f>
        <v>4.6933876872326443E-3</v>
      </c>
      <c r="W67" s="1"/>
      <c r="X67" s="1">
        <f t="shared" ref="X67:X70" si="50">+P67-T67</f>
        <v>-1476</v>
      </c>
      <c r="Y67" s="1"/>
      <c r="Z67" s="5">
        <f t="shared" ref="Z67:Z70" si="51">IF(T67=0,0,X67/T67)</f>
        <v>-1.0542857142857143</v>
      </c>
    </row>
    <row r="68" spans="1:26" s="24" customFormat="1" hidden="1" outlineLevel="2" x14ac:dyDescent="0.25">
      <c r="A68" s="27"/>
      <c r="B68" s="11" t="str">
        <f>CONCATENATE("          ", "6309", " - ", "TELEPHONE")</f>
        <v xml:space="preserve">          6309 - TELEPHONE</v>
      </c>
      <c r="C68" s="11"/>
      <c r="D68" s="7">
        <v>87.3</v>
      </c>
      <c r="E68" s="2"/>
      <c r="F68" s="6">
        <f t="shared" si="44"/>
        <v>2.4888103315562904E-3</v>
      </c>
      <c r="G68" s="2"/>
      <c r="H68" s="7">
        <v>350</v>
      </c>
      <c r="I68" s="2"/>
      <c r="J68" s="6">
        <f t="shared" si="45"/>
        <v>8.438004773499843E-3</v>
      </c>
      <c r="K68" s="2"/>
      <c r="L68" s="7">
        <f t="shared" si="46"/>
        <v>-262.7</v>
      </c>
      <c r="M68" s="2"/>
      <c r="N68" s="6">
        <f t="shared" si="47"/>
        <v>-0.75057142857142856</v>
      </c>
      <c r="O68" s="11"/>
      <c r="P68" s="7">
        <v>-76</v>
      </c>
      <c r="Q68" s="2"/>
      <c r="R68" s="6">
        <f t="shared" si="48"/>
        <v>-2.6357132205294317E-4</v>
      </c>
      <c r="S68" s="2"/>
      <c r="T68" s="7">
        <v>1400</v>
      </c>
      <c r="U68" s="2"/>
      <c r="V68" s="6">
        <f t="shared" si="49"/>
        <v>4.6933876872326443E-3</v>
      </c>
      <c r="W68" s="2"/>
      <c r="X68" s="7">
        <f t="shared" si="50"/>
        <v>-1476</v>
      </c>
      <c r="Y68" s="2"/>
      <c r="Z68" s="6">
        <f t="shared" si="51"/>
        <v>-1.0542857142857143</v>
      </c>
    </row>
    <row r="69" spans="1:26" s="28" customFormat="1" outlineLevel="1" collapsed="1" x14ac:dyDescent="0.25">
      <c r="A69" s="29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2000</v>
      </c>
      <c r="E69" s="1"/>
      <c r="F69" s="5">
        <f t="shared" si="44"/>
        <v>5.701741882144995E-2</v>
      </c>
      <c r="G69" s="1"/>
      <c r="H69" s="1">
        <f>SUM(OSRRefH22_13x_0)</f>
        <v>0</v>
      </c>
      <c r="I69" s="1"/>
      <c r="J69" s="5">
        <f t="shared" si="45"/>
        <v>0</v>
      </c>
      <c r="K69" s="1"/>
      <c r="L69" s="1">
        <f t="shared" si="46"/>
        <v>2000</v>
      </c>
      <c r="M69" s="1"/>
      <c r="N69" s="5">
        <f t="shared" si="47"/>
        <v>0</v>
      </c>
      <c r="O69" s="14"/>
      <c r="P69" s="1">
        <f>SUM(OSRRefP22_13x_0)</f>
        <v>2000</v>
      </c>
      <c r="Q69" s="1"/>
      <c r="R69" s="5">
        <f t="shared" si="48"/>
        <v>6.9360874224458722E-3</v>
      </c>
      <c r="S69" s="1"/>
      <c r="T69" s="1">
        <f>SUM(OSRRefT22_13x_0)</f>
        <v>0</v>
      </c>
      <c r="U69" s="1"/>
      <c r="V69" s="5">
        <f t="shared" si="49"/>
        <v>0</v>
      </c>
      <c r="W69" s="1"/>
      <c r="X69" s="1">
        <f t="shared" si="50"/>
        <v>2000</v>
      </c>
      <c r="Y69" s="1"/>
      <c r="Z69" s="5">
        <f t="shared" si="51"/>
        <v>0</v>
      </c>
    </row>
    <row r="70" spans="1:26" s="24" customFormat="1" hidden="1" outlineLevel="2" x14ac:dyDescent="0.25">
      <c r="A70" s="27"/>
      <c r="B70" s="11" t="str">
        <f>CONCATENATE("          ", "6376", " - ", "TRAINING")</f>
        <v xml:space="preserve">          6376 - TRAINING</v>
      </c>
      <c r="C70" s="11"/>
      <c r="D70" s="7">
        <v>2000</v>
      </c>
      <c r="E70" s="2"/>
      <c r="F70" s="6">
        <f t="shared" si="44"/>
        <v>5.701741882144995E-2</v>
      </c>
      <c r="G70" s="2"/>
      <c r="H70" s="7"/>
      <c r="I70" s="2"/>
      <c r="J70" s="6">
        <f t="shared" si="45"/>
        <v>0</v>
      </c>
      <c r="K70" s="2"/>
      <c r="L70" s="7">
        <f t="shared" si="46"/>
        <v>2000</v>
      </c>
      <c r="M70" s="2"/>
      <c r="N70" s="6">
        <f t="shared" si="47"/>
        <v>0</v>
      </c>
      <c r="O70" s="11"/>
      <c r="P70" s="7">
        <v>2000</v>
      </c>
      <c r="Q70" s="2"/>
      <c r="R70" s="6">
        <f t="shared" si="48"/>
        <v>6.9360874224458722E-3</v>
      </c>
      <c r="S70" s="2"/>
      <c r="T70" s="7"/>
      <c r="U70" s="2"/>
      <c r="V70" s="6">
        <f t="shared" si="49"/>
        <v>0</v>
      </c>
      <c r="W70" s="2"/>
      <c r="X70" s="7">
        <f t="shared" si="50"/>
        <v>2000</v>
      </c>
      <c r="Y70" s="2"/>
      <c r="Z70" s="6">
        <f t="shared" si="51"/>
        <v>0</v>
      </c>
    </row>
    <row r="71" spans="1:26" s="60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25">
      <c r="A72" s="10"/>
      <c r="B72" s="25" t="s">
        <v>293</v>
      </c>
      <c r="C72" s="10"/>
      <c r="D72" s="4">
        <f>SUM(OSRRefD25x_0)</f>
        <v>1668.3</v>
      </c>
      <c r="E72" s="4"/>
      <c r="F72" s="12">
        <f t="shared" ref="F72:F73" si="52">IF(D$12=0,0,D72/D$12)</f>
        <v>4.7561079909912478E-2</v>
      </c>
      <c r="G72" s="4"/>
      <c r="H72" s="4">
        <f>SUM(OSRRefH25x_0)</f>
        <v>2400</v>
      </c>
      <c r="I72" s="4"/>
      <c r="J72" s="12">
        <f t="shared" ref="J72:J73" si="53">IF(H$12=0,0,H72/H$12)</f>
        <v>5.7860604161141783E-2</v>
      </c>
      <c r="K72" s="4"/>
      <c r="L72" s="4">
        <f t="shared" ref="L72:L73" si="54">+D72-H72</f>
        <v>-731.7</v>
      </c>
      <c r="M72" s="4"/>
      <c r="N72" s="12">
        <f t="shared" ref="N72:N73" si="55">IF(H72=0,0,L72/H72)</f>
        <v>-0.30487500000000001</v>
      </c>
      <c r="O72" s="10"/>
      <c r="P72" s="4">
        <f>SUM(OSRRefP25x_0)</f>
        <v>4396.87</v>
      </c>
      <c r="Q72" s="4"/>
      <c r="R72" s="12">
        <f t="shared" ref="R72:R73" si="56">IF(P$12=0,0,P72/P$12)</f>
        <v>1.5248537352564791E-2</v>
      </c>
      <c r="S72" s="4"/>
      <c r="T72" s="4">
        <f>SUM(OSRRefT25x_0)</f>
        <v>9600</v>
      </c>
      <c r="U72" s="4"/>
      <c r="V72" s="12">
        <f t="shared" ref="V72:V73" si="57">IF(T$12=0,0,T72/T$12)</f>
        <v>3.218322985530956E-2</v>
      </c>
      <c r="W72" s="4"/>
      <c r="X72" s="4">
        <f t="shared" ref="X72:X73" si="58">+P72-T72</f>
        <v>-5203.13</v>
      </c>
      <c r="Y72" s="4"/>
      <c r="Z72" s="12">
        <f t="shared" ref="Z72:Z73" si="59">IF(T72=0,0,X72/T72)</f>
        <v>-0.54199270833333335</v>
      </c>
    </row>
    <row r="73" spans="1:26" s="24" customFormat="1" hidden="1" outlineLevel="1" x14ac:dyDescent="0.25">
      <c r="A73" s="44"/>
      <c r="B73" s="11" t="str">
        <f>CONCATENATE("          ", "9150", " - ", "MISC. INCOME")</f>
        <v xml:space="preserve">          9150 - MISC. INCOME</v>
      </c>
      <c r="C73" s="11"/>
      <c r="D73" s="2">
        <f>--1668.3</f>
        <v>1668.3</v>
      </c>
      <c r="E73" s="2"/>
      <c r="F73" s="19">
        <f t="shared" si="52"/>
        <v>4.7561079909912478E-2</v>
      </c>
      <c r="G73" s="2"/>
      <c r="H73" s="2">
        <v>2400</v>
      </c>
      <c r="I73" s="2"/>
      <c r="J73" s="19">
        <f t="shared" si="53"/>
        <v>5.7860604161141783E-2</v>
      </c>
      <c r="K73" s="2"/>
      <c r="L73" s="2">
        <f t="shared" si="54"/>
        <v>-731.7</v>
      </c>
      <c r="M73" s="2"/>
      <c r="N73" s="19">
        <f t="shared" si="55"/>
        <v>-0.30487500000000001</v>
      </c>
      <c r="O73" s="11"/>
      <c r="P73" s="2">
        <f>--4396.87</f>
        <v>4396.87</v>
      </c>
      <c r="Q73" s="2"/>
      <c r="R73" s="19">
        <f t="shared" si="56"/>
        <v>1.5248537352564791E-2</v>
      </c>
      <c r="S73" s="2"/>
      <c r="T73" s="2">
        <v>9600</v>
      </c>
      <c r="U73" s="2"/>
      <c r="V73" s="19">
        <f t="shared" si="57"/>
        <v>3.218322985530956E-2</v>
      </c>
      <c r="W73" s="2"/>
      <c r="X73" s="2">
        <f t="shared" si="58"/>
        <v>-5203.13</v>
      </c>
      <c r="Y73" s="2"/>
      <c r="Z73" s="19">
        <f t="shared" si="59"/>
        <v>-0.54199270833333335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6" t="s">
        <v>277</v>
      </c>
      <c r="C75" s="26"/>
      <c r="D75" s="21">
        <f>+D17-D19+D72</f>
        <v>-432.76000000000499</v>
      </c>
      <c r="E75" s="13"/>
      <c r="F75" s="20">
        <f>IF(D$12=0,0,D75/D$12)</f>
        <v>-1.2337429084585483E-2</v>
      </c>
      <c r="G75" s="13"/>
      <c r="H75" s="21">
        <f>+H17-H19+H72</f>
        <v>4239.2625885278758</v>
      </c>
      <c r="I75" s="13"/>
      <c r="J75" s="20">
        <f>IF(H$12=0,0,H75/H$12)</f>
        <v>0.10220262273747863</v>
      </c>
      <c r="K75" s="15"/>
      <c r="L75" s="21">
        <f>+D75-H75</f>
        <v>-4672.0225885278805</v>
      </c>
      <c r="M75" s="15"/>
      <c r="N75" s="20">
        <f>IF(H75=0,0,L75/H75)</f>
        <v>-1.1020837919243602</v>
      </c>
      <c r="O75" s="25"/>
      <c r="P75" s="21">
        <f>+P17-P19+P72</f>
        <v>66859.01999999996</v>
      </c>
      <c r="Q75" s="13"/>
      <c r="R75" s="20">
        <f>IF(P$12=0,0,P75/P$12)</f>
        <v>0.23187000384952838</v>
      </c>
      <c r="S75" s="13"/>
      <c r="T75" s="21">
        <f>+T17-T19+T72</f>
        <v>30486.204993700376</v>
      </c>
      <c r="U75" s="13"/>
      <c r="V75" s="20">
        <f>IF(T$12=0,0,T75/T$12)</f>
        <v>0.10220255653420264</v>
      </c>
      <c r="W75" s="15"/>
      <c r="X75" s="21">
        <f>+P75-T75</f>
        <v>36372.815006299585</v>
      </c>
      <c r="Y75" s="15"/>
      <c r="Z75" s="20">
        <f>IF(T75=0,0,X75/T75)</f>
        <v>1.1930909410933768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2"/>
      <c r="B77" s="10" t="s">
        <v>128</v>
      </c>
      <c r="C77" s="10"/>
      <c r="D77" s="4">
        <v>1981.88</v>
      </c>
      <c r="E77" s="4"/>
      <c r="F77" s="12">
        <f>IF(D$12=0,0,D77/D$12)</f>
        <v>5.6500841006927621E-2</v>
      </c>
      <c r="G77" s="4"/>
      <c r="H77" s="4">
        <v>6415</v>
      </c>
      <c r="I77" s="4"/>
      <c r="J77" s="12">
        <f>IF(H$12=0,0,H77/H$12)</f>
        <v>0.15465657320571854</v>
      </c>
      <c r="K77" s="4"/>
      <c r="L77" s="4">
        <f>+D77-H77</f>
        <v>-4433.12</v>
      </c>
      <c r="M77" s="4"/>
      <c r="N77" s="12">
        <f>IF(H77=0,0,L77/H77)</f>
        <v>-0.69105533904910366</v>
      </c>
      <c r="O77" s="10"/>
      <c r="P77" s="4">
        <v>33330.53</v>
      </c>
      <c r="Q77" s="4"/>
      <c r="R77" s="12">
        <f>IF(P$12=0,0,P77/P$12)</f>
        <v>0.11559173495822742</v>
      </c>
      <c r="S77" s="4"/>
      <c r="T77" s="4">
        <v>34301</v>
      </c>
      <c r="U77" s="4"/>
      <c r="V77" s="12">
        <f>IF(T$12=0,0,T77/T$12)</f>
        <v>0.11499135075697639</v>
      </c>
      <c r="W77" s="4"/>
      <c r="X77" s="4">
        <f>+P77-T77</f>
        <v>-970.47000000000116</v>
      </c>
      <c r="Y77" s="4"/>
      <c r="Z77" s="12">
        <f>IF(T77=0,0,X77/T77)</f>
        <v>-2.8292761143990004E-2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6" t="s">
        <v>126</v>
      </c>
      <c r="C79" s="26"/>
      <c r="D79" s="31">
        <f>+D75-D77</f>
        <v>-2414.6400000000049</v>
      </c>
      <c r="E79" s="13"/>
      <c r="F79" s="33">
        <f>IF(D$12=0,0,D79/D$12)</f>
        <v>-6.8838270091513096E-2</v>
      </c>
      <c r="G79" s="13"/>
      <c r="H79" s="31">
        <f>+H75-H77</f>
        <v>-2175.7374114721242</v>
      </c>
      <c r="I79" s="13"/>
      <c r="J79" s="33">
        <f>IF(H$12=0,0,H79/H$12)</f>
        <v>-5.2453950468239932E-2</v>
      </c>
      <c r="K79" s="15"/>
      <c r="L79" s="31">
        <f>D79-H79</f>
        <v>-238.90258852788065</v>
      </c>
      <c r="M79" s="15"/>
      <c r="N79" s="33">
        <f>IF(H79=0,0,L79/H79)</f>
        <v>0.10980304299048521</v>
      </c>
      <c r="O79" s="25"/>
      <c r="P79" s="31">
        <f>+P75-P77</f>
        <v>33528.489999999962</v>
      </c>
      <c r="Q79" s="13"/>
      <c r="R79" s="33">
        <f>IF(P$12=0,0,P79/P$12)</f>
        <v>0.11627826889130097</v>
      </c>
      <c r="S79" s="13"/>
      <c r="T79" s="31">
        <f>+T75-T77</f>
        <v>-3814.7950062996242</v>
      </c>
      <c r="U79" s="13"/>
      <c r="V79" s="33">
        <f>IF(T$12=0,0,T79/T$12)</f>
        <v>-1.278879422277374E-2</v>
      </c>
      <c r="W79" s="15"/>
      <c r="X79" s="31">
        <f>P79-T79</f>
        <v>37343.285006299586</v>
      </c>
      <c r="Y79" s="15"/>
      <c r="Z79" s="33">
        <f>IF(T79=0,0,X79/T79)</f>
        <v>-9.789067287922979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6" t="s">
        <v>294</v>
      </c>
      <c r="C82" s="26"/>
      <c r="D82" s="35">
        <f>SUM(D79:D81)</f>
        <v>-2414.6400000000049</v>
      </c>
      <c r="E82" s="13"/>
      <c r="F82" s="32">
        <f>IF(D$12=0,0,D82/D$12)</f>
        <v>-6.8838270091513096E-2</v>
      </c>
      <c r="G82" s="13"/>
      <c r="H82" s="35">
        <f>SUM(H79:H81)</f>
        <v>-2175.7374114721242</v>
      </c>
      <c r="I82" s="13"/>
      <c r="J82" s="32">
        <f>IF(H$12=0,0,H82/H$12)</f>
        <v>-5.2453950468239932E-2</v>
      </c>
      <c r="K82" s="15"/>
      <c r="L82" s="35">
        <f>+D82-H82</f>
        <v>-238.90258852788065</v>
      </c>
      <c r="M82" s="15"/>
      <c r="N82" s="32">
        <f>IF(H82=0,0,L82/H82)</f>
        <v>0.10980304299048521</v>
      </c>
      <c r="O82" s="25"/>
      <c r="P82" s="35">
        <f>SUM(P79:P81)</f>
        <v>33528.489999999962</v>
      </c>
      <c r="Q82" s="13"/>
      <c r="R82" s="32">
        <f>IF(P$12=0,0,P82/P$12)</f>
        <v>0.11627826889130097</v>
      </c>
      <c r="S82" s="13"/>
      <c r="T82" s="35">
        <f>SUM(T79:T81)</f>
        <v>-3814.7950062996242</v>
      </c>
      <c r="U82" s="13"/>
      <c r="V82" s="32">
        <f>IF(T$12=0,0,T82/T$12)</f>
        <v>-1.278879422277374E-2</v>
      </c>
      <c r="W82" s="15"/>
      <c r="X82" s="35">
        <f>+P82-T82</f>
        <v>37343.285006299586</v>
      </c>
      <c r="Y82" s="15"/>
      <c r="Z82" s="32">
        <f>IF(T82=0,0,X82/T82)</f>
        <v>-9.789067287922979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59">
        <v>44517.962868020833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62" t="s">
        <v>56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7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">
        <v>139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str">
        <f>CONCATENATE("Period ",RIGHT(202204,2),", ",2022)</f>
        <v>Period 04, 2022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4">
        <v>44499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str">
        <f>CONCATENATE("Department ","501", " - ", "ID Card Services")</f>
        <v>Department 501 - ID Card Services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>
        <f>SUM(OSRRefD13x_0)</f>
        <v>35077</v>
      </c>
      <c r="E12" s="4"/>
      <c r="F12" s="12"/>
      <c r="G12" s="4"/>
      <c r="H12" s="4">
        <f>SUM(OSRRefH13x_0)</f>
        <v>41479</v>
      </c>
      <c r="I12" s="4"/>
      <c r="J12" s="12"/>
      <c r="K12" s="4"/>
      <c r="L12" s="4">
        <f t="shared" ref="L12:L13" si="0">+D12-H12</f>
        <v>-6402</v>
      </c>
      <c r="M12" s="4"/>
      <c r="N12" s="12">
        <f t="shared" ref="N12:N13" si="1">IF(H12=0,0,L12/H12)</f>
        <v>-0.15434316159984571</v>
      </c>
      <c r="O12" s="10"/>
      <c r="P12" s="4">
        <f>SUM(OSRRefP13x_0)</f>
        <v>288347</v>
      </c>
      <c r="Q12" s="4"/>
      <c r="R12" s="12"/>
      <c r="S12" s="4"/>
      <c r="T12" s="4">
        <f>SUM(OSRRefT13x_0)</f>
        <v>298292</v>
      </c>
      <c r="U12" s="4"/>
      <c r="V12" s="12"/>
      <c r="W12" s="4"/>
      <c r="X12" s="4">
        <f t="shared" ref="X12:X13" si="2">+P12-T12</f>
        <v>-9945</v>
      </c>
      <c r="Y12" s="4"/>
      <c r="Z12" s="12">
        <f t="shared" ref="Z12:Z13" si="3">IF(T12=0,0,X12/T12)</f>
        <v>-3.3339814678234748E-2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--35077</f>
        <v>35077</v>
      </c>
      <c r="E13" s="2"/>
      <c r="F13" s="19"/>
      <c r="G13" s="2"/>
      <c r="H13" s="2">
        <v>41479</v>
      </c>
      <c r="I13" s="2"/>
      <c r="J13" s="19"/>
      <c r="K13" s="2"/>
      <c r="L13" s="2">
        <f t="shared" si="0"/>
        <v>-6402</v>
      </c>
      <c r="M13" s="2"/>
      <c r="N13" s="19">
        <f t="shared" si="1"/>
        <v>-0.15434316159984571</v>
      </c>
      <c r="O13" s="11"/>
      <c r="P13" s="2">
        <f>--288347</f>
        <v>288347</v>
      </c>
      <c r="Q13" s="2"/>
      <c r="R13" s="19"/>
      <c r="S13" s="2"/>
      <c r="T13" s="2">
        <v>298292</v>
      </c>
      <c r="U13" s="2"/>
      <c r="V13" s="19"/>
      <c r="W13" s="2"/>
      <c r="X13" s="2">
        <f t="shared" si="2"/>
        <v>-9945</v>
      </c>
      <c r="Y13" s="2"/>
      <c r="Z13" s="19">
        <f t="shared" si="3"/>
        <v>-3.3339814678234748E-2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108</v>
      </c>
      <c r="C17" s="26"/>
      <c r="D17" s="21">
        <f>D12-D15</f>
        <v>35077</v>
      </c>
      <c r="E17" s="13"/>
      <c r="F17" s="20">
        <f>IF(D$12=0,0,D17/D$12)</f>
        <v>1</v>
      </c>
      <c r="G17" s="13"/>
      <c r="H17" s="21">
        <f>H12-H15</f>
        <v>41479</v>
      </c>
      <c r="I17" s="13"/>
      <c r="J17" s="20">
        <f>IF(H$12=0,0,H17/H$12)</f>
        <v>1</v>
      </c>
      <c r="K17" s="15"/>
      <c r="L17" s="21">
        <f>+D17-H17</f>
        <v>-6402</v>
      </c>
      <c r="M17" s="15"/>
      <c r="N17" s="20">
        <f>IF(H17=0,0,L17/H17)</f>
        <v>-0.15434316159984571</v>
      </c>
      <c r="O17" s="25"/>
      <c r="P17" s="21">
        <f>P12-P15</f>
        <v>288347</v>
      </c>
      <c r="Q17" s="13"/>
      <c r="R17" s="20">
        <f>IF(P$12=0,0,P17/P$12)</f>
        <v>1</v>
      </c>
      <c r="S17" s="13"/>
      <c r="T17" s="21">
        <f>T12-T15</f>
        <v>298292</v>
      </c>
      <c r="U17" s="13"/>
      <c r="V17" s="20">
        <f>IF(T$12=0,0,T17/T$12)</f>
        <v>1</v>
      </c>
      <c r="W17" s="15"/>
      <c r="X17" s="21">
        <f>+P17-T17</f>
        <v>-9945</v>
      </c>
      <c r="Y17" s="15"/>
      <c r="Z17" s="20">
        <f>IF(T17=0,0,X17/T17)</f>
        <v>-3.3339814678234748E-2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295</v>
      </c>
      <c r="C19" s="10"/>
      <c r="D19" s="22">
        <f>SUM(OSRRefD22x_0)</f>
        <v>37178.060000000005</v>
      </c>
      <c r="E19" s="22"/>
      <c r="F19" s="34">
        <f t="shared" ref="F19:F30" si="4">IF(D$12=0,0,D19/D$12)</f>
        <v>1.0598985089944979</v>
      </c>
      <c r="G19" s="22"/>
      <c r="H19" s="22">
        <f>SUM(OSRRefH22x_0)</f>
        <v>39639.737411472124</v>
      </c>
      <c r="I19" s="22"/>
      <c r="J19" s="34">
        <f t="shared" ref="J19:J30" si="5">IF(H$12=0,0,H19/H$12)</f>
        <v>0.95565798142366321</v>
      </c>
      <c r="K19" s="4"/>
      <c r="L19" s="22">
        <f t="shared" ref="L19:L30" si="6">+D19-H19</f>
        <v>-2461.6774114721193</v>
      </c>
      <c r="M19" s="4"/>
      <c r="N19" s="34">
        <f t="shared" ref="N19:N30" si="7">IF(H19=0,0,L19/H19)</f>
        <v>-6.210125425199426E-2</v>
      </c>
      <c r="O19" s="10"/>
      <c r="P19" s="22">
        <f>SUM(OSRRefP22x_0)</f>
        <v>225884.85000000003</v>
      </c>
      <c r="Q19" s="22"/>
      <c r="R19" s="34">
        <f t="shared" ref="R19:R30" si="8">IF(P$12=0,0,P19/P$12)</f>
        <v>0.78337853350303643</v>
      </c>
      <c r="S19" s="22"/>
      <c r="T19" s="22">
        <f>SUM(OSRRefT22x_0)</f>
        <v>277405.79500629962</v>
      </c>
      <c r="U19" s="22"/>
      <c r="V19" s="34">
        <f t="shared" ref="V19:V30" si="9">IF(T$12=0,0,T19/T$12)</f>
        <v>0.9299806733211069</v>
      </c>
      <c r="W19" s="4"/>
      <c r="X19" s="22">
        <f t="shared" ref="X19:X30" si="10">+P19-T19</f>
        <v>-51520.945006299589</v>
      </c>
      <c r="Y19" s="4"/>
      <c r="Z19" s="34">
        <f t="shared" ref="Z19:Z30" si="11">IF(T19=0,0,X19/T19)</f>
        <v>-0.18572411223467628</v>
      </c>
    </row>
    <row r="20" spans="1:26" s="28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4997.1099999999997</v>
      </c>
      <c r="E20" s="1"/>
      <c r="F20" s="5">
        <f t="shared" si="4"/>
        <v>0.14246115688342786</v>
      </c>
      <c r="G20" s="1"/>
      <c r="H20" s="1">
        <f>SUM(OSRRefH22_0x_0)</f>
        <v>3918.4396085875023</v>
      </c>
      <c r="I20" s="1"/>
      <c r="J20" s="5">
        <f t="shared" si="5"/>
        <v>9.4468034634092007E-2</v>
      </c>
      <c r="K20" s="1"/>
      <c r="L20" s="1">
        <f t="shared" si="6"/>
        <v>1078.6703914124973</v>
      </c>
      <c r="M20" s="1"/>
      <c r="N20" s="5">
        <f t="shared" si="7"/>
        <v>0.27528059614559952</v>
      </c>
      <c r="O20" s="14"/>
      <c r="P20" s="1">
        <f>SUM(OSRRefP22_0x_0)</f>
        <v>16225.33</v>
      </c>
      <c r="Q20" s="1"/>
      <c r="R20" s="5">
        <f t="shared" si="8"/>
        <v>5.6270153669016845E-2</v>
      </c>
      <c r="S20" s="1"/>
      <c r="T20" s="1">
        <f>SUM(OSRRefT22_0x_0)</f>
        <v>16623.622915915013</v>
      </c>
      <c r="U20" s="1"/>
      <c r="V20" s="5">
        <f t="shared" si="9"/>
        <v>5.5729362221967109E-2</v>
      </c>
      <c r="W20" s="1"/>
      <c r="X20" s="1">
        <f t="shared" si="10"/>
        <v>-398.29291591501351</v>
      </c>
      <c r="Y20" s="1"/>
      <c r="Z20" s="5">
        <f t="shared" si="11"/>
        <v>-2.3959453238902483E-2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7">
        <v>1435.84</v>
      </c>
      <c r="E21" s="2"/>
      <c r="F21" s="6">
        <f t="shared" si="4"/>
        <v>4.0933945320295345E-2</v>
      </c>
      <c r="G21" s="2"/>
      <c r="H21" s="7">
        <v>841.49147984711601</v>
      </c>
      <c r="I21" s="2"/>
      <c r="J21" s="6">
        <f t="shared" si="5"/>
        <v>2.0287168925169748E-2</v>
      </c>
      <c r="K21" s="2"/>
      <c r="L21" s="7">
        <f t="shared" si="6"/>
        <v>594.34852015288391</v>
      </c>
      <c r="M21" s="2"/>
      <c r="N21" s="6">
        <f t="shared" si="7"/>
        <v>0.70630366959968083</v>
      </c>
      <c r="O21" s="11"/>
      <c r="P21" s="7">
        <v>4889.28</v>
      </c>
      <c r="Q21" s="2"/>
      <c r="R21" s="6">
        <f t="shared" si="8"/>
        <v>1.6956236756408078E-2</v>
      </c>
      <c r="S21" s="2"/>
      <c r="T21" s="7">
        <v>5018.1927024496199</v>
      </c>
      <c r="U21" s="2"/>
      <c r="V21" s="6">
        <f t="shared" si="9"/>
        <v>1.6823088458455541E-2</v>
      </c>
      <c r="W21" s="2"/>
      <c r="X21" s="7">
        <f t="shared" si="10"/>
        <v>-128.91270244962016</v>
      </c>
      <c r="Y21" s="2"/>
      <c r="Z21" s="6">
        <f t="shared" si="11"/>
        <v>-2.5689069769419516E-2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242.24</v>
      </c>
      <c r="E22" s="2"/>
      <c r="F22" s="6">
        <f t="shared" si="4"/>
        <v>6.9059497676540182E-3</v>
      </c>
      <c r="G22" s="2"/>
      <c r="H22" s="7">
        <v>381.1949955</v>
      </c>
      <c r="I22" s="2"/>
      <c r="J22" s="6">
        <f t="shared" si="5"/>
        <v>9.1900719761807189E-3</v>
      </c>
      <c r="K22" s="2"/>
      <c r="L22" s="7">
        <f t="shared" si="6"/>
        <v>-138.9549955</v>
      </c>
      <c r="M22" s="2"/>
      <c r="N22" s="6">
        <f t="shared" si="7"/>
        <v>-0.36452471081824578</v>
      </c>
      <c r="O22" s="11"/>
      <c r="P22" s="7">
        <v>738.97</v>
      </c>
      <c r="Q22" s="2"/>
      <c r="R22" s="6">
        <f t="shared" si="8"/>
        <v>2.5627802612824134E-3</v>
      </c>
      <c r="S22" s="2"/>
      <c r="T22" s="7">
        <v>1411.3565838</v>
      </c>
      <c r="U22" s="2"/>
      <c r="V22" s="6">
        <f t="shared" si="9"/>
        <v>4.7314597233583198E-3</v>
      </c>
      <c r="W22" s="2"/>
      <c r="X22" s="7">
        <f t="shared" si="10"/>
        <v>-672.38658379999993</v>
      </c>
      <c r="Y22" s="2"/>
      <c r="Z22" s="6">
        <f t="shared" si="11"/>
        <v>-0.47641155432855675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7">
        <v>1054.3499999999999</v>
      </c>
      <c r="E23" s="2"/>
      <c r="F23" s="6">
        <f t="shared" si="4"/>
        <v>3.0058157767197877E-2</v>
      </c>
      <c r="G23" s="2"/>
      <c r="H23" s="7">
        <v>1022.5</v>
      </c>
      <c r="I23" s="2"/>
      <c r="J23" s="6">
        <f t="shared" si="5"/>
        <v>2.4651028231153112E-2</v>
      </c>
      <c r="K23" s="2"/>
      <c r="L23" s="7">
        <f t="shared" si="6"/>
        <v>31.849999999999909</v>
      </c>
      <c r="M23" s="2"/>
      <c r="N23" s="6">
        <f t="shared" si="7"/>
        <v>3.114914425427864E-2</v>
      </c>
      <c r="O23" s="11"/>
      <c r="P23" s="7">
        <v>4217.3999999999996</v>
      </c>
      <c r="Q23" s="2"/>
      <c r="R23" s="6">
        <f t="shared" si="8"/>
        <v>1.462612754771161E-2</v>
      </c>
      <c r="S23" s="2"/>
      <c r="T23" s="7">
        <v>4090</v>
      </c>
      <c r="U23" s="2"/>
      <c r="V23" s="6">
        <f t="shared" si="9"/>
        <v>1.3711396886272511E-2</v>
      </c>
      <c r="W23" s="2"/>
      <c r="X23" s="7">
        <f t="shared" si="10"/>
        <v>127.39999999999964</v>
      </c>
      <c r="Y23" s="2"/>
      <c r="Z23" s="6">
        <f t="shared" si="11"/>
        <v>3.114914425427864E-2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48.06</v>
      </c>
      <c r="E24" s="2"/>
      <c r="F24" s="6">
        <f t="shared" si="4"/>
        <v>1.3701285742794423E-3</v>
      </c>
      <c r="G24" s="2"/>
      <c r="H24" s="7">
        <v>51.3147109326923</v>
      </c>
      <c r="I24" s="2"/>
      <c r="J24" s="6">
        <f t="shared" si="5"/>
        <v>1.237125073716635E-3</v>
      </c>
      <c r="K24" s="2"/>
      <c r="L24" s="7">
        <f t="shared" si="6"/>
        <v>-3.2547109326922978</v>
      </c>
      <c r="M24" s="2"/>
      <c r="N24" s="6">
        <f t="shared" si="7"/>
        <v>-6.3426469204150585E-2</v>
      </c>
      <c r="O24" s="11"/>
      <c r="P24" s="7">
        <v>146.16</v>
      </c>
      <c r="Q24" s="2"/>
      <c r="R24" s="6">
        <f t="shared" si="8"/>
        <v>5.0688926883234436E-4</v>
      </c>
      <c r="S24" s="2"/>
      <c r="T24" s="7">
        <v>189.99030935769201</v>
      </c>
      <c r="U24" s="2"/>
      <c r="V24" s="6">
        <f t="shared" si="9"/>
        <v>6.3692727045208057E-4</v>
      </c>
      <c r="W24" s="2"/>
      <c r="X24" s="7">
        <f t="shared" si="10"/>
        <v>-43.830309357692016</v>
      </c>
      <c r="Y24" s="2"/>
      <c r="Z24" s="6">
        <f t="shared" si="11"/>
        <v>-0.23069760508244305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7">
        <v>879.87</v>
      </c>
      <c r="E25" s="2"/>
      <c r="F25" s="6">
        <f t="shared" si="4"/>
        <v>2.5083958149214585E-2</v>
      </c>
      <c r="G25" s="2"/>
      <c r="H25" s="7">
        <v>721.15959057692396</v>
      </c>
      <c r="I25" s="2"/>
      <c r="J25" s="6">
        <f t="shared" si="5"/>
        <v>1.7386137336409362E-2</v>
      </c>
      <c r="K25" s="2"/>
      <c r="L25" s="7">
        <f t="shared" si="6"/>
        <v>158.71040942307604</v>
      </c>
      <c r="M25" s="2"/>
      <c r="N25" s="6">
        <f t="shared" si="7"/>
        <v>0.2200766813571855</v>
      </c>
      <c r="O25" s="11"/>
      <c r="P25" s="7">
        <v>2639.61</v>
      </c>
      <c r="Q25" s="2"/>
      <c r="R25" s="6">
        <f t="shared" si="8"/>
        <v>9.1542828605811755E-3</v>
      </c>
      <c r="S25" s="2"/>
      <c r="T25" s="7">
        <v>2596.1745260769299</v>
      </c>
      <c r="U25" s="2"/>
      <c r="V25" s="6">
        <f t="shared" si="9"/>
        <v>8.7034668247117919E-3</v>
      </c>
      <c r="W25" s="2"/>
      <c r="X25" s="7">
        <f t="shared" si="10"/>
        <v>43.435473923070276</v>
      </c>
      <c r="Y25" s="2"/>
      <c r="Z25" s="6">
        <f t="shared" si="11"/>
        <v>1.6730567797653213E-2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7"/>
      <c r="B27" s="11" t="str">
        <f>CONCATENATE("          ", "6117", " - ", "RETIREMENT STAFF HOURLY")</f>
        <v xml:space="preserve">          6117 - RETIREMENT STAFF HOURLY</v>
      </c>
      <c r="C27" s="11"/>
      <c r="D27" s="7"/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0</v>
      </c>
      <c r="M27" s="2"/>
      <c r="N27" s="6">
        <f t="shared" si="7"/>
        <v>0</v>
      </c>
      <c r="O27" s="11"/>
      <c r="P27" s="7">
        <v>215.15</v>
      </c>
      <c r="Q27" s="2"/>
      <c r="R27" s="6">
        <f t="shared" si="8"/>
        <v>7.4614960446961476E-4</v>
      </c>
      <c r="S27" s="2"/>
      <c r="T27" s="7"/>
      <c r="U27" s="2"/>
      <c r="V27" s="6">
        <f t="shared" si="9"/>
        <v>0</v>
      </c>
      <c r="W27" s="2"/>
      <c r="X27" s="7">
        <f t="shared" si="10"/>
        <v>215.15</v>
      </c>
      <c r="Y27" s="2"/>
      <c r="Z27" s="6">
        <f t="shared" si="11"/>
        <v>0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7">
        <v>748.88</v>
      </c>
      <c r="E28" s="2"/>
      <c r="F28" s="6">
        <f t="shared" si="4"/>
        <v>2.1349602303503721E-2</v>
      </c>
      <c r="G28" s="2"/>
      <c r="H28" s="7">
        <v>251.56729903846201</v>
      </c>
      <c r="I28" s="2"/>
      <c r="J28" s="6">
        <f t="shared" si="5"/>
        <v>6.0649316289800139E-3</v>
      </c>
      <c r="K28" s="2"/>
      <c r="L28" s="7">
        <f t="shared" si="6"/>
        <v>497.31270096153798</v>
      </c>
      <c r="M28" s="2"/>
      <c r="N28" s="6">
        <f t="shared" si="7"/>
        <v>1.9768574964328096</v>
      </c>
      <c r="O28" s="11"/>
      <c r="P28" s="7">
        <v>1990.16</v>
      </c>
      <c r="Q28" s="2"/>
      <c r="R28" s="6">
        <f t="shared" si="8"/>
        <v>6.9019618723274393E-3</v>
      </c>
      <c r="S28" s="2"/>
      <c r="T28" s="7">
        <v>905.64227653846206</v>
      </c>
      <c r="U28" s="2"/>
      <c r="V28" s="6">
        <f t="shared" si="9"/>
        <v>3.036093078387828E-3</v>
      </c>
      <c r="W28" s="2"/>
      <c r="X28" s="7">
        <f t="shared" si="10"/>
        <v>1084.517723461538</v>
      </c>
      <c r="Y28" s="2"/>
      <c r="Z28" s="6">
        <f t="shared" si="11"/>
        <v>1.1975122535210836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7">
        <v>400.37</v>
      </c>
      <c r="E29" s="2"/>
      <c r="F29" s="6">
        <f t="shared" si="4"/>
        <v>1.1414031986771959E-2</v>
      </c>
      <c r="G29" s="2"/>
      <c r="H29" s="7">
        <v>649.21153269230797</v>
      </c>
      <c r="I29" s="2"/>
      <c r="J29" s="6">
        <f t="shared" si="5"/>
        <v>1.5651571462482413E-2</v>
      </c>
      <c r="K29" s="2"/>
      <c r="L29" s="7">
        <f t="shared" si="6"/>
        <v>-248.84153269230796</v>
      </c>
      <c r="M29" s="2"/>
      <c r="N29" s="6">
        <f t="shared" si="7"/>
        <v>-0.38329807799370336</v>
      </c>
      <c r="O29" s="11"/>
      <c r="P29" s="7">
        <v>1201.0999999999999</v>
      </c>
      <c r="Q29" s="2"/>
      <c r="R29" s="6">
        <f t="shared" si="8"/>
        <v>4.1654673015498684E-3</v>
      </c>
      <c r="S29" s="2"/>
      <c r="T29" s="7">
        <v>2412.2665176923101</v>
      </c>
      <c r="U29" s="2"/>
      <c r="V29" s="6">
        <f t="shared" si="9"/>
        <v>8.0869299803290398E-3</v>
      </c>
      <c r="W29" s="2"/>
      <c r="X29" s="7">
        <f t="shared" si="10"/>
        <v>-1211.1665176923102</v>
      </c>
      <c r="Y29" s="2"/>
      <c r="Z29" s="6">
        <f t="shared" si="11"/>
        <v>-0.50208652684487376</v>
      </c>
    </row>
    <row r="30" spans="1:26" s="24" customFormat="1" hidden="1" outlineLevel="2" x14ac:dyDescent="0.25">
      <c r="A30" s="27"/>
      <c r="B30" s="11" t="str">
        <f>CONCATENATE("          ", "6156", " - ", "EMPLOYEE MEALS")</f>
        <v xml:space="preserve">          6156 - EMPLOYEE MEALS</v>
      </c>
      <c r="C30" s="11"/>
      <c r="D30" s="7">
        <v>187.5</v>
      </c>
      <c r="E30" s="2"/>
      <c r="F30" s="6">
        <f t="shared" si="4"/>
        <v>5.3453830145109328E-3</v>
      </c>
      <c r="G30" s="2"/>
      <c r="H30" s="7"/>
      <c r="I30" s="2"/>
      <c r="J30" s="6">
        <f t="shared" si="5"/>
        <v>0</v>
      </c>
      <c r="K30" s="2"/>
      <c r="L30" s="7">
        <f t="shared" si="6"/>
        <v>187.5</v>
      </c>
      <c r="M30" s="2"/>
      <c r="N30" s="6">
        <f t="shared" si="7"/>
        <v>0</v>
      </c>
      <c r="O30" s="11"/>
      <c r="P30" s="7">
        <v>187.5</v>
      </c>
      <c r="Q30" s="2"/>
      <c r="R30" s="6">
        <f t="shared" si="8"/>
        <v>6.5025819585430057E-4</v>
      </c>
      <c r="S30" s="2"/>
      <c r="T30" s="7"/>
      <c r="U30" s="2"/>
      <c r="V30" s="6">
        <f t="shared" si="9"/>
        <v>0</v>
      </c>
      <c r="W30" s="2"/>
      <c r="X30" s="7">
        <f t="shared" si="10"/>
        <v>187.5</v>
      </c>
      <c r="Y30" s="2"/>
      <c r="Z30" s="6">
        <f t="shared" si="11"/>
        <v>0</v>
      </c>
    </row>
    <row r="31" spans="1:26" s="28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15533.409999999998</v>
      </c>
      <c r="E31" s="1"/>
      <c r="F31" s="5">
        <f t="shared" ref="F31:F41" si="12">IF(D$12=0,0,D31/D$12)</f>
        <v>0.44283747184764938</v>
      </c>
      <c r="G31" s="1"/>
      <c r="H31" s="1">
        <f>SUM(OSRRefH22_1x_0)</f>
        <v>24016.297802884619</v>
      </c>
      <c r="I31" s="1"/>
      <c r="J31" s="5">
        <f t="shared" ref="J31:J41" si="13">IF(H$12=0,0,H31/H$12)</f>
        <v>0.57899895857866923</v>
      </c>
      <c r="K31" s="1"/>
      <c r="L31" s="1">
        <f t="shared" ref="L31:L41" si="14">+D31-H31</f>
        <v>-8482.8878028846211</v>
      </c>
      <c r="M31" s="1"/>
      <c r="N31" s="5">
        <f t="shared" ref="N31:N41" si="15">IF(H31=0,0,L31/H31)</f>
        <v>-0.353213799750007</v>
      </c>
      <c r="O31" s="14"/>
      <c r="P31" s="1">
        <f>SUM(OSRRefP22_1x_0)</f>
        <v>65671.909999999989</v>
      </c>
      <c r="Q31" s="1"/>
      <c r="R31" s="5">
        <f t="shared" ref="R31:R41" si="16">IF(P$12=0,0,P31/P$12)</f>
        <v>0.22775305447949862</v>
      </c>
      <c r="S31" s="1"/>
      <c r="T31" s="1">
        <f>SUM(OSRRefT22_1x_0)</f>
        <v>88962.1720903846</v>
      </c>
      <c r="U31" s="1"/>
      <c r="V31" s="5">
        <f t="shared" ref="V31:V41" si="17">IF(T$12=0,0,T31/T$12)</f>
        <v>0.29823854508463049</v>
      </c>
      <c r="W31" s="1"/>
      <c r="X31" s="1">
        <f t="shared" ref="X31:X41" si="18">+P31-T31</f>
        <v>-23290.262090384611</v>
      </c>
      <c r="Y31" s="1"/>
      <c r="Z31" s="5">
        <f t="shared" ref="Z31:Z41" si="19">IF(T31=0,0,X31/T31)</f>
        <v>-0.26179961148792497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7">
        <v>4926.79</v>
      </c>
      <c r="E32" s="2"/>
      <c r="F32" s="6">
        <f t="shared" si="12"/>
        <v>0.14045642443766571</v>
      </c>
      <c r="G32" s="2"/>
      <c r="H32" s="7">
        <v>5174.7596153846198</v>
      </c>
      <c r="I32" s="2"/>
      <c r="J32" s="6">
        <f t="shared" si="13"/>
        <v>0.12475613238951325</v>
      </c>
      <c r="K32" s="2"/>
      <c r="L32" s="7">
        <f t="shared" si="14"/>
        <v>-247.96961538461983</v>
      </c>
      <c r="M32" s="2"/>
      <c r="N32" s="6">
        <f t="shared" si="15"/>
        <v>-4.791905978538661E-2</v>
      </c>
      <c r="O32" s="11"/>
      <c r="P32" s="7">
        <v>19484.09</v>
      </c>
      <c r="Q32" s="2"/>
      <c r="R32" s="6">
        <f t="shared" si="16"/>
        <v>6.7571675793401703E-2</v>
      </c>
      <c r="S32" s="2"/>
      <c r="T32" s="7">
        <v>18629.134615384599</v>
      </c>
      <c r="U32" s="2"/>
      <c r="V32" s="6">
        <f t="shared" si="17"/>
        <v>6.2452679305461091E-2</v>
      </c>
      <c r="W32" s="2"/>
      <c r="X32" s="7">
        <f t="shared" si="18"/>
        <v>854.95538461540127</v>
      </c>
      <c r="Y32" s="2"/>
      <c r="Z32" s="6">
        <f t="shared" si="19"/>
        <v>4.5893456795859364E-2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>
        <v>980.59</v>
      </c>
      <c r="E33" s="2"/>
      <c r="F33" s="6">
        <f t="shared" si="12"/>
        <v>2.7955355361062806E-2</v>
      </c>
      <c r="G33" s="2"/>
      <c r="H33" s="7">
        <v>2791.5381874999998</v>
      </c>
      <c r="I33" s="2"/>
      <c r="J33" s="6">
        <f t="shared" si="13"/>
        <v>6.730003586152028E-2</v>
      </c>
      <c r="K33" s="2"/>
      <c r="L33" s="7">
        <f t="shared" si="14"/>
        <v>-1810.9481874999997</v>
      </c>
      <c r="M33" s="2"/>
      <c r="N33" s="6">
        <f t="shared" si="15"/>
        <v>-0.64872771420756348</v>
      </c>
      <c r="O33" s="11"/>
      <c r="P33" s="7">
        <v>9036.57</v>
      </c>
      <c r="Q33" s="2"/>
      <c r="R33" s="6">
        <f t="shared" si="16"/>
        <v>3.1339219759525846E-2</v>
      </c>
      <c r="S33" s="2"/>
      <c r="T33" s="7">
        <v>10049.537474999999</v>
      </c>
      <c r="U33" s="2"/>
      <c r="V33" s="6">
        <f t="shared" si="17"/>
        <v>3.3690268176820026E-2</v>
      </c>
      <c r="W33" s="2"/>
      <c r="X33" s="7">
        <f t="shared" si="18"/>
        <v>-1012.9674749999995</v>
      </c>
      <c r="Y33" s="2"/>
      <c r="Z33" s="6">
        <f t="shared" si="19"/>
        <v>-0.10079742252018414</v>
      </c>
    </row>
    <row r="34" spans="1:26" s="24" customFormat="1" hidden="1" outlineLevel="2" x14ac:dyDescent="0.25">
      <c r="A34" s="27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7"/>
      <c r="B35" s="11" t="str">
        <f>CONCATENATE("          ", "6004", " - ", "STAFF HOURLY")</f>
        <v xml:space="preserve">          6004 - STAFF HOURLY</v>
      </c>
      <c r="C35" s="11"/>
      <c r="D35" s="7">
        <v>1739.5</v>
      </c>
      <c r="E35" s="2"/>
      <c r="F35" s="6">
        <f t="shared" si="12"/>
        <v>4.95909000199561E-2</v>
      </c>
      <c r="G35" s="2"/>
      <c r="H35" s="7">
        <v>2610</v>
      </c>
      <c r="I35" s="2"/>
      <c r="J35" s="6">
        <f t="shared" si="13"/>
        <v>6.2923407025241684E-2</v>
      </c>
      <c r="K35" s="2"/>
      <c r="L35" s="7">
        <f t="shared" si="14"/>
        <v>-870.5</v>
      </c>
      <c r="M35" s="2"/>
      <c r="N35" s="6">
        <f t="shared" si="15"/>
        <v>-0.33352490421455938</v>
      </c>
      <c r="O35" s="11"/>
      <c r="P35" s="7">
        <v>6649.9</v>
      </c>
      <c r="Q35" s="2"/>
      <c r="R35" s="6">
        <f t="shared" si="16"/>
        <v>2.3062143875261402E-2</v>
      </c>
      <c r="S35" s="2"/>
      <c r="T35" s="7">
        <v>9396</v>
      </c>
      <c r="U35" s="2"/>
      <c r="V35" s="6">
        <f t="shared" si="17"/>
        <v>3.1499336220884237E-2</v>
      </c>
      <c r="W35" s="2"/>
      <c r="X35" s="7">
        <f t="shared" si="18"/>
        <v>-2746.1000000000004</v>
      </c>
      <c r="Y35" s="2"/>
      <c r="Z35" s="6">
        <f t="shared" si="19"/>
        <v>-0.29226266496381442</v>
      </c>
    </row>
    <row r="36" spans="1:26" s="24" customFormat="1" hidden="1" outlineLevel="2" x14ac:dyDescent="0.25">
      <c r="A36" s="27"/>
      <c r="B36" s="11" t="str">
        <f>CONCATENATE("          ", "6005", " - ", "TEMPORARY WAGES-HOURLY")</f>
        <v xml:space="preserve">          6005 - TEMPORARY WAGES-HOURLY</v>
      </c>
      <c r="C36" s="11"/>
      <c r="D36" s="7">
        <v>8606.81</v>
      </c>
      <c r="E36" s="2"/>
      <c r="F36" s="6">
        <f t="shared" si="12"/>
        <v>0.24536904524332181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8606.81</v>
      </c>
      <c r="M36" s="2"/>
      <c r="N36" s="6">
        <f t="shared" si="15"/>
        <v>0</v>
      </c>
      <c r="O36" s="11"/>
      <c r="P36" s="7">
        <v>27449.93</v>
      </c>
      <c r="Q36" s="2"/>
      <c r="R36" s="6">
        <f t="shared" si="16"/>
        <v>9.5197557110009809E-2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27449.93</v>
      </c>
      <c r="Y36" s="2"/>
      <c r="Z36" s="6">
        <f t="shared" si="19"/>
        <v>0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7">
        <v>-884.5</v>
      </c>
      <c r="E38" s="2"/>
      <c r="F38" s="6">
        <f t="shared" si="12"/>
        <v>-2.5215953473786242E-2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-884.5</v>
      </c>
      <c r="M38" s="2"/>
      <c r="N38" s="6">
        <f t="shared" si="15"/>
        <v>0</v>
      </c>
      <c r="O38" s="11"/>
      <c r="P38" s="7">
        <v>2887.2</v>
      </c>
      <c r="Q38" s="2"/>
      <c r="R38" s="6">
        <f t="shared" si="16"/>
        <v>1.001293580304286E-2</v>
      </c>
      <c r="S38" s="2"/>
      <c r="T38" s="7">
        <v>25987.5</v>
      </c>
      <c r="U38" s="2"/>
      <c r="V38" s="6">
        <f t="shared" si="17"/>
        <v>8.7121008944255965E-2</v>
      </c>
      <c r="W38" s="2"/>
      <c r="X38" s="7">
        <f t="shared" si="18"/>
        <v>-23100.3</v>
      </c>
      <c r="Y38" s="2"/>
      <c r="Z38" s="6">
        <f t="shared" si="19"/>
        <v>-0.88890043290043286</v>
      </c>
    </row>
    <row r="39" spans="1:26" s="24" customFormat="1" hidden="1" outlineLevel="2" x14ac:dyDescent="0.2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7">
        <v>164.22</v>
      </c>
      <c r="E39" s="2"/>
      <c r="F39" s="6">
        <f t="shared" si="12"/>
        <v>4.6817002594292554E-3</v>
      </c>
      <c r="G39" s="2"/>
      <c r="H39" s="7">
        <v>13440</v>
      </c>
      <c r="I39" s="2"/>
      <c r="J39" s="6">
        <f t="shared" si="13"/>
        <v>0.32401938330239399</v>
      </c>
      <c r="K39" s="2"/>
      <c r="L39" s="7">
        <f t="shared" si="14"/>
        <v>-13275.78</v>
      </c>
      <c r="M39" s="2"/>
      <c r="N39" s="6">
        <f t="shared" si="15"/>
        <v>-0.98778125000000006</v>
      </c>
      <c r="O39" s="11"/>
      <c r="P39" s="7">
        <v>164.22</v>
      </c>
      <c r="Q39" s="2"/>
      <c r="R39" s="6">
        <f t="shared" si="16"/>
        <v>5.6952213825703054E-4</v>
      </c>
      <c r="S39" s="2"/>
      <c r="T39" s="7">
        <v>24900</v>
      </c>
      <c r="U39" s="2"/>
      <c r="V39" s="6">
        <f t="shared" si="17"/>
        <v>8.3475252437209171E-2</v>
      </c>
      <c r="W39" s="2"/>
      <c r="X39" s="7">
        <f t="shared" si="18"/>
        <v>-24735.78</v>
      </c>
      <c r="Y39" s="2"/>
      <c r="Z39" s="6">
        <f t="shared" si="19"/>
        <v>-0.99340481927710844</v>
      </c>
    </row>
    <row r="40" spans="1:26" s="24" customFormat="1" hidden="1" outlineLevel="2" x14ac:dyDescent="0.25">
      <c r="A40" s="27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7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8" customFormat="1" outlineLevel="1" collapsed="1" x14ac:dyDescent="0.25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77.180000000000007</v>
      </c>
      <c r="E42" s="1"/>
      <c r="F42" s="5">
        <f t="shared" ref="F42:F50" si="20">IF(D$12=0,0,D42/D$12)</f>
        <v>2.2003021923197538E-3</v>
      </c>
      <c r="G42" s="1"/>
      <c r="H42" s="1">
        <f>SUM(OSRRefH22_2x_0)</f>
        <v>100</v>
      </c>
      <c r="I42" s="1"/>
      <c r="J42" s="5">
        <f t="shared" ref="J42:J50" si="21">IF(H$12=0,0,H42/H$12)</f>
        <v>2.410858506714241E-3</v>
      </c>
      <c r="K42" s="1"/>
      <c r="L42" s="1">
        <f t="shared" ref="L42:L50" si="22">+D42-H42</f>
        <v>-22.819999999999993</v>
      </c>
      <c r="M42" s="1"/>
      <c r="N42" s="5">
        <f t="shared" ref="N42:N50" si="23">IF(H42=0,0,L42/H42)</f>
        <v>-0.22819999999999993</v>
      </c>
      <c r="O42" s="14"/>
      <c r="P42" s="1">
        <f>SUM(OSRRefP22_2x_0)</f>
        <v>112.46</v>
      </c>
      <c r="Q42" s="1"/>
      <c r="R42" s="5">
        <f t="shared" ref="R42:R50" si="24">IF(P$12=0,0,P42/P$12)</f>
        <v>3.9001619576413139E-4</v>
      </c>
      <c r="S42" s="1"/>
      <c r="T42" s="1">
        <f>SUM(OSRRefT22_2x_0)</f>
        <v>400</v>
      </c>
      <c r="U42" s="1"/>
      <c r="V42" s="5">
        <f t="shared" ref="V42:V50" si="25">IF(T$12=0,0,T42/T$12)</f>
        <v>1.3409679106378984E-3</v>
      </c>
      <c r="W42" s="1"/>
      <c r="X42" s="1">
        <f t="shared" ref="X42:X50" si="26">+P42-T42</f>
        <v>-287.54000000000002</v>
      </c>
      <c r="Y42" s="1"/>
      <c r="Z42" s="5">
        <f t="shared" ref="Z42:Z50" si="27">IF(T42=0,0,X42/T42)</f>
        <v>-0.7188500000000001</v>
      </c>
    </row>
    <row r="43" spans="1:26" s="24" customFormat="1" hidden="1" outlineLevel="2" x14ac:dyDescent="0.25">
      <c r="A43" s="27"/>
      <c r="B43" s="11" t="str">
        <f>CONCATENATE("          ", "6362", " - ", "ADVERTISING EXPENSE")</f>
        <v xml:space="preserve">          6362 - ADVERTISING EXPENSE</v>
      </c>
      <c r="C43" s="11"/>
      <c r="D43" s="7">
        <v>77.180000000000007</v>
      </c>
      <c r="E43" s="2"/>
      <c r="F43" s="6">
        <f t="shared" si="20"/>
        <v>2.2003021923197538E-3</v>
      </c>
      <c r="G43" s="2"/>
      <c r="H43" s="7">
        <v>100</v>
      </c>
      <c r="I43" s="2"/>
      <c r="J43" s="6">
        <f t="shared" si="21"/>
        <v>2.410858506714241E-3</v>
      </c>
      <c r="K43" s="2"/>
      <c r="L43" s="7">
        <f t="shared" si="22"/>
        <v>-22.819999999999993</v>
      </c>
      <c r="M43" s="2"/>
      <c r="N43" s="6">
        <f t="shared" si="23"/>
        <v>-0.22819999999999993</v>
      </c>
      <c r="O43" s="11"/>
      <c r="P43" s="7">
        <v>112.46</v>
      </c>
      <c r="Q43" s="2"/>
      <c r="R43" s="6">
        <f t="shared" si="24"/>
        <v>3.9001619576413139E-4</v>
      </c>
      <c r="S43" s="2"/>
      <c r="T43" s="7">
        <v>400</v>
      </c>
      <c r="U43" s="2"/>
      <c r="V43" s="6">
        <f t="shared" si="25"/>
        <v>1.3409679106378984E-3</v>
      </c>
      <c r="W43" s="2"/>
      <c r="X43" s="7">
        <f t="shared" si="26"/>
        <v>-287.54000000000002</v>
      </c>
      <c r="Y43" s="2"/>
      <c r="Z43" s="6">
        <f t="shared" si="27"/>
        <v>-0.7188500000000001</v>
      </c>
    </row>
    <row r="44" spans="1:26" s="28" customFormat="1" outlineLevel="1" collapsed="1" x14ac:dyDescent="0.25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330.9</v>
      </c>
      <c r="E44" s="1"/>
      <c r="F44" s="5">
        <f t="shared" si="20"/>
        <v>9.4335319440088938E-3</v>
      </c>
      <c r="G44" s="1"/>
      <c r="H44" s="1">
        <f>SUM(OSRRefH22_3x_0)</f>
        <v>1250</v>
      </c>
      <c r="I44" s="1"/>
      <c r="J44" s="5">
        <f t="shared" si="21"/>
        <v>3.0135731333928013E-2</v>
      </c>
      <c r="K44" s="1"/>
      <c r="L44" s="1">
        <f t="shared" si="22"/>
        <v>-919.1</v>
      </c>
      <c r="M44" s="1"/>
      <c r="N44" s="5">
        <f t="shared" si="23"/>
        <v>-0.73528000000000004</v>
      </c>
      <c r="O44" s="14"/>
      <c r="P44" s="1">
        <f>SUM(OSRRefP22_3x_0)</f>
        <v>1303.1099999999999</v>
      </c>
      <c r="Q44" s="1"/>
      <c r="R44" s="5">
        <f t="shared" si="24"/>
        <v>4.5192424405317202E-3</v>
      </c>
      <c r="S44" s="1"/>
      <c r="T44" s="1">
        <f>SUM(OSRRefT22_3x_0)</f>
        <v>5000</v>
      </c>
      <c r="U44" s="1"/>
      <c r="V44" s="5">
        <f t="shared" si="25"/>
        <v>1.6762098882973732E-2</v>
      </c>
      <c r="W44" s="1"/>
      <c r="X44" s="1">
        <f t="shared" si="26"/>
        <v>-3696.8900000000003</v>
      </c>
      <c r="Y44" s="1"/>
      <c r="Z44" s="5">
        <f t="shared" si="27"/>
        <v>-0.73937800000000009</v>
      </c>
    </row>
    <row r="45" spans="1:26" s="24" customFormat="1" hidden="1" outlineLevel="2" x14ac:dyDescent="0.25">
      <c r="A45" s="27"/>
      <c r="B45" s="11" t="str">
        <f>CONCATENATE("          ", "6381", " - ", "BANK/CREDIT CARD FEES")</f>
        <v xml:space="preserve">          6381 - BANK/CREDIT CARD FEES</v>
      </c>
      <c r="C45" s="11"/>
      <c r="D45" s="7">
        <v>330.9</v>
      </c>
      <c r="E45" s="2"/>
      <c r="F45" s="6">
        <f t="shared" si="20"/>
        <v>9.4335319440088938E-3</v>
      </c>
      <c r="G45" s="2"/>
      <c r="H45" s="7">
        <v>1250</v>
      </c>
      <c r="I45" s="2"/>
      <c r="J45" s="6">
        <f t="shared" si="21"/>
        <v>3.0135731333928013E-2</v>
      </c>
      <c r="K45" s="2"/>
      <c r="L45" s="7">
        <f t="shared" si="22"/>
        <v>-919.1</v>
      </c>
      <c r="M45" s="2"/>
      <c r="N45" s="6">
        <f t="shared" si="23"/>
        <v>-0.73528000000000004</v>
      </c>
      <c r="O45" s="11"/>
      <c r="P45" s="7">
        <v>1303.1099999999999</v>
      </c>
      <c r="Q45" s="2"/>
      <c r="R45" s="6">
        <f t="shared" si="24"/>
        <v>4.5192424405317202E-3</v>
      </c>
      <c r="S45" s="2"/>
      <c r="T45" s="7">
        <v>5000</v>
      </c>
      <c r="U45" s="2"/>
      <c r="V45" s="6">
        <f t="shared" si="25"/>
        <v>1.6762098882973732E-2</v>
      </c>
      <c r="W45" s="2"/>
      <c r="X45" s="7">
        <f t="shared" si="26"/>
        <v>-3696.8900000000003</v>
      </c>
      <c r="Y45" s="2"/>
      <c r="Z45" s="6">
        <f t="shared" si="27"/>
        <v>-0.73937800000000009</v>
      </c>
    </row>
    <row r="46" spans="1:26" s="28" customFormat="1" outlineLevel="1" collapsed="1" x14ac:dyDescent="0.25">
      <c r="A46" s="29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4.8217170134284821E-4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80</v>
      </c>
      <c r="U46" s="1"/>
      <c r="V46" s="5">
        <f t="shared" si="25"/>
        <v>2.6819358212757971E-4</v>
      </c>
      <c r="W46" s="1"/>
      <c r="X46" s="1">
        <f t="shared" si="26"/>
        <v>-80</v>
      </c>
      <c r="Y46" s="1"/>
      <c r="Z46" s="5">
        <f t="shared" si="27"/>
        <v>-1</v>
      </c>
    </row>
    <row r="47" spans="1:26" s="24" customFormat="1" hidden="1" outlineLevel="2" x14ac:dyDescent="0.25">
      <c r="A47" s="27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4.8217170134284821E-4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80</v>
      </c>
      <c r="U47" s="2"/>
      <c r="V47" s="6">
        <f t="shared" si="25"/>
        <v>2.6819358212757971E-4</v>
      </c>
      <c r="W47" s="2"/>
      <c r="X47" s="7">
        <f t="shared" si="26"/>
        <v>-80</v>
      </c>
      <c r="Y47" s="2"/>
      <c r="Z47" s="6">
        <f t="shared" si="27"/>
        <v>-1</v>
      </c>
    </row>
    <row r="48" spans="1:26" s="28" customFormat="1" outlineLevel="1" collapsed="1" x14ac:dyDescent="0.25">
      <c r="A48" s="29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0.31</v>
      </c>
      <c r="E48" s="1"/>
      <c r="F48" s="5">
        <f t="shared" si="20"/>
        <v>8.8376999173247428E-6</v>
      </c>
      <c r="G48" s="1"/>
      <c r="H48" s="1">
        <f>SUM(OSRRefH22_5x_0)</f>
        <v>10</v>
      </c>
      <c r="I48" s="1"/>
      <c r="J48" s="5">
        <f t="shared" si="21"/>
        <v>2.410858506714241E-4</v>
      </c>
      <c r="K48" s="1"/>
      <c r="L48" s="1">
        <f t="shared" si="22"/>
        <v>-9.69</v>
      </c>
      <c r="M48" s="1"/>
      <c r="N48" s="5">
        <f t="shared" si="23"/>
        <v>-0.96899999999999997</v>
      </c>
      <c r="O48" s="14"/>
      <c r="P48" s="1">
        <f>SUM(OSRRefP22_5x_0)</f>
        <v>0.62</v>
      </c>
      <c r="Q48" s="1"/>
      <c r="R48" s="5">
        <f t="shared" si="24"/>
        <v>2.1501871009582204E-6</v>
      </c>
      <c r="S48" s="1"/>
      <c r="T48" s="1">
        <f>SUM(OSRRefT22_5x_0)</f>
        <v>40</v>
      </c>
      <c r="U48" s="1"/>
      <c r="V48" s="5">
        <f t="shared" si="25"/>
        <v>1.3409679106378986E-4</v>
      </c>
      <c r="W48" s="1"/>
      <c r="X48" s="1">
        <f t="shared" si="26"/>
        <v>-39.380000000000003</v>
      </c>
      <c r="Y48" s="1"/>
      <c r="Z48" s="5">
        <f t="shared" si="27"/>
        <v>-0.98450000000000004</v>
      </c>
    </row>
    <row r="49" spans="1:26" s="24" customFormat="1" hidden="1" outlineLevel="2" x14ac:dyDescent="0.25">
      <c r="A49" s="27"/>
      <c r="B49" s="11" t="str">
        <f>CONCATENATE("          ", "6305", " - ", "FREIGHT OUT")</f>
        <v xml:space="preserve">          6305 - FREIGHT OUT</v>
      </c>
      <c r="C49" s="11"/>
      <c r="D49" s="7">
        <v>0.31</v>
      </c>
      <c r="E49" s="2"/>
      <c r="F49" s="6">
        <f t="shared" si="20"/>
        <v>8.8376999173247428E-6</v>
      </c>
      <c r="G49" s="2"/>
      <c r="H49" s="7"/>
      <c r="I49" s="2"/>
      <c r="J49" s="6">
        <f t="shared" si="21"/>
        <v>0</v>
      </c>
      <c r="K49" s="2"/>
      <c r="L49" s="7">
        <f t="shared" si="22"/>
        <v>0.31</v>
      </c>
      <c r="M49" s="2"/>
      <c r="N49" s="6">
        <f t="shared" si="23"/>
        <v>0</v>
      </c>
      <c r="O49" s="11"/>
      <c r="P49" s="7">
        <v>0.62</v>
      </c>
      <c r="Q49" s="2"/>
      <c r="R49" s="6">
        <f t="shared" si="24"/>
        <v>2.1501871009582204E-6</v>
      </c>
      <c r="S49" s="2"/>
      <c r="T49" s="7"/>
      <c r="U49" s="2"/>
      <c r="V49" s="6">
        <f t="shared" si="25"/>
        <v>0</v>
      </c>
      <c r="W49" s="2"/>
      <c r="X49" s="7">
        <f t="shared" si="26"/>
        <v>0.62</v>
      </c>
      <c r="Y49" s="2"/>
      <c r="Z49" s="6">
        <f t="shared" si="27"/>
        <v>0</v>
      </c>
    </row>
    <row r="50" spans="1:26" s="24" customFormat="1" hidden="1" outlineLevel="2" x14ac:dyDescent="0.25">
      <c r="A50" s="27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2.410858506714241E-4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/>
      <c r="Q50" s="2"/>
      <c r="R50" s="6">
        <f t="shared" si="24"/>
        <v>0</v>
      </c>
      <c r="S50" s="2"/>
      <c r="T50" s="7">
        <v>40</v>
      </c>
      <c r="U50" s="2"/>
      <c r="V50" s="6">
        <f t="shared" si="25"/>
        <v>1.3409679106378986E-4</v>
      </c>
      <c r="W50" s="2"/>
      <c r="X50" s="7">
        <f t="shared" si="26"/>
        <v>-40</v>
      </c>
      <c r="Y50" s="2"/>
      <c r="Z50" s="6">
        <f t="shared" si="27"/>
        <v>-1</v>
      </c>
    </row>
    <row r="51" spans="1:26" s="28" customFormat="1" outlineLevel="1" collapsed="1" x14ac:dyDescent="0.25">
      <c r="A51" s="29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0" si="28">IF(D$12=0,0,D51/D$12)</f>
        <v>0</v>
      </c>
      <c r="G51" s="1"/>
      <c r="H51" s="1">
        <f>SUM(OSRRefH22_6x_0)</f>
        <v>50</v>
      </c>
      <c r="I51" s="1"/>
      <c r="J51" s="5">
        <f t="shared" ref="J51:J60" si="29">IF(H$12=0,0,H51/H$12)</f>
        <v>1.2054292533571205E-3</v>
      </c>
      <c r="K51" s="1"/>
      <c r="L51" s="1">
        <f t="shared" ref="L51:L60" si="30">+D51-H51</f>
        <v>-50</v>
      </c>
      <c r="M51" s="1"/>
      <c r="N51" s="5">
        <f t="shared" ref="N51:N60" si="31">IF(H51=0,0,L51/H51)</f>
        <v>-1</v>
      </c>
      <c r="O51" s="14"/>
      <c r="P51" s="1">
        <f>SUM(OSRRefP22_6x_0)</f>
        <v>0</v>
      </c>
      <c r="Q51" s="1"/>
      <c r="R51" s="5">
        <f t="shared" ref="R51:R60" si="32">IF(P$12=0,0,P51/P$12)</f>
        <v>0</v>
      </c>
      <c r="S51" s="1"/>
      <c r="T51" s="1">
        <f>SUM(OSRRefT22_6x_0)</f>
        <v>200</v>
      </c>
      <c r="U51" s="1"/>
      <c r="V51" s="5">
        <f t="shared" ref="V51:V60" si="33">IF(T$12=0,0,T51/T$12)</f>
        <v>6.704839553189492E-4</v>
      </c>
      <c r="W51" s="1"/>
      <c r="X51" s="1">
        <f t="shared" ref="X51:X60" si="34">+P51-T51</f>
        <v>-200</v>
      </c>
      <c r="Y51" s="1"/>
      <c r="Z51" s="5">
        <f t="shared" ref="Z51:Z60" si="35">IF(T51=0,0,X51/T51)</f>
        <v>-1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1.2054292533571205E-3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200</v>
      </c>
      <c r="U52" s="2"/>
      <c r="V52" s="6">
        <f t="shared" si="33"/>
        <v>6.704839553189492E-4</v>
      </c>
      <c r="W52" s="2"/>
      <c r="X52" s="7">
        <f t="shared" si="34"/>
        <v>-200</v>
      </c>
      <c r="Y52" s="2"/>
      <c r="Z52" s="6">
        <f t="shared" si="35"/>
        <v>-1</v>
      </c>
    </row>
    <row r="53" spans="1:26" s="28" customFormat="1" outlineLevel="1" collapsed="1" x14ac:dyDescent="0.25">
      <c r="A53" s="29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39.43</v>
      </c>
      <c r="E53" s="1"/>
      <c r="F53" s="5">
        <f t="shared" si="28"/>
        <v>1.1240984120648857E-3</v>
      </c>
      <c r="G53" s="1"/>
      <c r="H53" s="1">
        <f>SUM(OSRRefH22_7x_0)</f>
        <v>40</v>
      </c>
      <c r="I53" s="1"/>
      <c r="J53" s="5">
        <f t="shared" si="29"/>
        <v>9.6434340268569641E-4</v>
      </c>
      <c r="K53" s="1"/>
      <c r="L53" s="1">
        <f t="shared" si="30"/>
        <v>-0.57000000000000028</v>
      </c>
      <c r="M53" s="1"/>
      <c r="N53" s="5">
        <f t="shared" si="31"/>
        <v>-1.4250000000000007E-2</v>
      </c>
      <c r="O53" s="14"/>
      <c r="P53" s="1">
        <f>SUM(OSRRefP22_7x_0)</f>
        <v>157.72</v>
      </c>
      <c r="Q53" s="1"/>
      <c r="R53" s="5">
        <f t="shared" si="32"/>
        <v>5.4697985413408145E-4</v>
      </c>
      <c r="S53" s="1"/>
      <c r="T53" s="1">
        <f>SUM(OSRRefT22_7x_0)</f>
        <v>160</v>
      </c>
      <c r="U53" s="1"/>
      <c r="V53" s="5">
        <f t="shared" si="33"/>
        <v>5.3638716425515943E-4</v>
      </c>
      <c r="W53" s="1"/>
      <c r="X53" s="1">
        <f t="shared" si="34"/>
        <v>-2.2800000000000011</v>
      </c>
      <c r="Y53" s="1"/>
      <c r="Z53" s="5">
        <f t="shared" si="35"/>
        <v>-1.4250000000000007E-2</v>
      </c>
    </row>
    <row r="54" spans="1:26" s="24" customFormat="1" hidden="1" outlineLevel="2" x14ac:dyDescent="0.25">
      <c r="A54" s="27"/>
      <c r="B54" s="11" t="str">
        <f>CONCATENATE("          ", "6314", " - ", "LIABILITY INSURANCE")</f>
        <v xml:space="preserve">          6314 - LIABILITY INSURANCE</v>
      </c>
      <c r="C54" s="11"/>
      <c r="D54" s="7">
        <v>39.43</v>
      </c>
      <c r="E54" s="2"/>
      <c r="F54" s="6">
        <f t="shared" si="28"/>
        <v>1.1240984120648857E-3</v>
      </c>
      <c r="G54" s="2"/>
      <c r="H54" s="7">
        <v>40</v>
      </c>
      <c r="I54" s="2"/>
      <c r="J54" s="6">
        <f t="shared" si="29"/>
        <v>9.6434340268569641E-4</v>
      </c>
      <c r="K54" s="2"/>
      <c r="L54" s="7">
        <f t="shared" si="30"/>
        <v>-0.57000000000000028</v>
      </c>
      <c r="M54" s="2"/>
      <c r="N54" s="6">
        <f t="shared" si="31"/>
        <v>-1.4250000000000007E-2</v>
      </c>
      <c r="O54" s="11"/>
      <c r="P54" s="7">
        <v>157.72</v>
      </c>
      <c r="Q54" s="2"/>
      <c r="R54" s="6">
        <f t="shared" si="32"/>
        <v>5.4697985413408145E-4</v>
      </c>
      <c r="S54" s="2"/>
      <c r="T54" s="7">
        <v>160</v>
      </c>
      <c r="U54" s="2"/>
      <c r="V54" s="6">
        <f t="shared" si="33"/>
        <v>5.3638716425515943E-4</v>
      </c>
      <c r="W54" s="2"/>
      <c r="X54" s="7">
        <f t="shared" si="34"/>
        <v>-2.2800000000000011</v>
      </c>
      <c r="Y54" s="2"/>
      <c r="Z54" s="6">
        <f t="shared" si="35"/>
        <v>-1.4250000000000007E-2</v>
      </c>
    </row>
    <row r="55" spans="1:26" s="28" customFormat="1" outlineLevel="1" collapsed="1" x14ac:dyDescent="0.25">
      <c r="A55" s="29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2.2806967528579983E-2</v>
      </c>
      <c r="G55" s="1"/>
      <c r="H55" s="1">
        <f>SUM(OSRRefH22_8x_0)</f>
        <v>800</v>
      </c>
      <c r="I55" s="1"/>
      <c r="J55" s="5">
        <f t="shared" si="29"/>
        <v>1.9286868053713928E-2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3200</v>
      </c>
      <c r="Q55" s="1"/>
      <c r="R55" s="5">
        <f t="shared" si="32"/>
        <v>1.1097739875913396E-2</v>
      </c>
      <c r="S55" s="1"/>
      <c r="T55" s="1">
        <f>SUM(OSRRefT22_8x_0)</f>
        <v>3200</v>
      </c>
      <c r="U55" s="1"/>
      <c r="V55" s="5">
        <f t="shared" si="33"/>
        <v>1.0727743285103187E-2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7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2.2806967528579983E-2</v>
      </c>
      <c r="G56" s="2"/>
      <c r="H56" s="7">
        <v>800</v>
      </c>
      <c r="I56" s="2"/>
      <c r="J56" s="6">
        <f t="shared" si="29"/>
        <v>1.9286868053713928E-2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3200</v>
      </c>
      <c r="Q56" s="2"/>
      <c r="R56" s="6">
        <f t="shared" si="32"/>
        <v>1.1097739875913396E-2</v>
      </c>
      <c r="S56" s="2"/>
      <c r="T56" s="7">
        <v>3200</v>
      </c>
      <c r="U56" s="2"/>
      <c r="V56" s="6">
        <f t="shared" si="33"/>
        <v>1.0727743285103187E-2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8" customFormat="1" outlineLevel="1" collapsed="1" x14ac:dyDescent="0.25">
      <c r="A57" s="29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3200</v>
      </c>
      <c r="I57" s="1"/>
      <c r="J57" s="5">
        <f t="shared" si="29"/>
        <v>7.7147472214855711E-2</v>
      </c>
      <c r="K57" s="1"/>
      <c r="L57" s="1">
        <f t="shared" si="30"/>
        <v>-3200</v>
      </c>
      <c r="M57" s="1"/>
      <c r="N57" s="5">
        <f t="shared" si="31"/>
        <v>-1</v>
      </c>
      <c r="O57" s="14"/>
      <c r="P57" s="1">
        <f>SUM(OSRRefP22_9x_0)</f>
        <v>122000.62</v>
      </c>
      <c r="Q57" s="1"/>
      <c r="R57" s="5">
        <f t="shared" si="32"/>
        <v>0.42310348295629918</v>
      </c>
      <c r="S57" s="1"/>
      <c r="T57" s="1">
        <f>SUM(OSRRefT22_9x_0)</f>
        <v>137800</v>
      </c>
      <c r="U57" s="1"/>
      <c r="V57" s="5">
        <f t="shared" si="33"/>
        <v>0.46196344521475602</v>
      </c>
      <c r="W57" s="1"/>
      <c r="X57" s="1">
        <f t="shared" si="34"/>
        <v>-15799.380000000005</v>
      </c>
      <c r="Y57" s="1"/>
      <c r="Z57" s="5">
        <f t="shared" si="35"/>
        <v>-0.11465442670537014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125000</v>
      </c>
      <c r="U58" s="2"/>
      <c r="V58" s="6">
        <f t="shared" si="33"/>
        <v>0.41905247207434326</v>
      </c>
      <c r="W58" s="2"/>
      <c r="X58" s="7">
        <f t="shared" si="34"/>
        <v>-125000</v>
      </c>
      <c r="Y58" s="2"/>
      <c r="Z58" s="6">
        <f t="shared" si="35"/>
        <v>-1</v>
      </c>
    </row>
    <row r="59" spans="1:26" s="24" customFormat="1" hidden="1" outlineLevel="2" x14ac:dyDescent="0.25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8"/>
        <v>0</v>
      </c>
      <c r="G59" s="2"/>
      <c r="H59" s="7">
        <v>3200</v>
      </c>
      <c r="I59" s="2"/>
      <c r="J59" s="6">
        <f t="shared" si="29"/>
        <v>7.7147472214855711E-2</v>
      </c>
      <c r="K59" s="2"/>
      <c r="L59" s="7">
        <f t="shared" si="30"/>
        <v>-3200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12800</v>
      </c>
      <c r="U59" s="2"/>
      <c r="V59" s="6">
        <f t="shared" si="33"/>
        <v>4.2910973140412749E-2</v>
      </c>
      <c r="W59" s="2"/>
      <c r="X59" s="7">
        <f t="shared" si="34"/>
        <v>-12800</v>
      </c>
      <c r="Y59" s="2"/>
      <c r="Z59" s="6">
        <f t="shared" si="35"/>
        <v>-1</v>
      </c>
    </row>
    <row r="60" spans="1:26" s="24" customFormat="1" hidden="1" outlineLevel="2" x14ac:dyDescent="0.25">
      <c r="A60" s="27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122000.62</v>
      </c>
      <c r="Q60" s="2"/>
      <c r="R60" s="6">
        <f t="shared" si="32"/>
        <v>0.42310348295629918</v>
      </c>
      <c r="S60" s="2"/>
      <c r="T60" s="7"/>
      <c r="U60" s="2"/>
      <c r="V60" s="6">
        <f t="shared" si="33"/>
        <v>0</v>
      </c>
      <c r="W60" s="2"/>
      <c r="X60" s="7">
        <f t="shared" si="34"/>
        <v>122000.62</v>
      </c>
      <c r="Y60" s="2"/>
      <c r="Z60" s="6">
        <f t="shared" si="35"/>
        <v>0</v>
      </c>
    </row>
    <row r="61" spans="1:26" s="28" customFormat="1" outlineLevel="1" collapsed="1" x14ac:dyDescent="0.25">
      <c r="A61" s="29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SUM(OSRRefD22_10x_0)</f>
        <v>0</v>
      </c>
      <c r="E61" s="1"/>
      <c r="F61" s="5">
        <f t="shared" ref="F61:F66" si="36">IF(D$12=0,0,D61/D$12)</f>
        <v>0</v>
      </c>
      <c r="G61" s="1"/>
      <c r="H61" s="1">
        <f>SUM(OSRRefH22_10x_0)</f>
        <v>85</v>
      </c>
      <c r="I61" s="1"/>
      <c r="J61" s="5">
        <f t="shared" ref="J61:J66" si="37">IF(H$12=0,0,H61/H$12)</f>
        <v>2.0492297307071047E-3</v>
      </c>
      <c r="K61" s="1"/>
      <c r="L61" s="1">
        <f t="shared" ref="L61:L66" si="38">+D61-H61</f>
        <v>-85</v>
      </c>
      <c r="M61" s="1"/>
      <c r="N61" s="5">
        <f t="shared" ref="N61:N66" si="39">IF(H61=0,0,L61/H61)</f>
        <v>-1</v>
      </c>
      <c r="O61" s="14"/>
      <c r="P61" s="1">
        <f>SUM(OSRRefP22_10x_0)</f>
        <v>0</v>
      </c>
      <c r="Q61" s="1"/>
      <c r="R61" s="5">
        <f t="shared" ref="R61:R66" si="40">IF(P$12=0,0,P61/P$12)</f>
        <v>0</v>
      </c>
      <c r="S61" s="1"/>
      <c r="T61" s="1">
        <f>SUM(OSRRefT22_10x_0)</f>
        <v>340</v>
      </c>
      <c r="U61" s="1"/>
      <c r="V61" s="5">
        <f t="shared" ref="V61:V66" si="41">IF(T$12=0,0,T61/T$12)</f>
        <v>1.1398227240422137E-3</v>
      </c>
      <c r="W61" s="1"/>
      <c r="X61" s="1">
        <f t="shared" ref="X61:X66" si="42">+P61-T61</f>
        <v>-340</v>
      </c>
      <c r="Y61" s="1"/>
      <c r="Z61" s="5">
        <f t="shared" ref="Z61:Z66" si="43">IF(T61=0,0,X61/T61)</f>
        <v>-1</v>
      </c>
    </row>
    <row r="62" spans="1:26" s="24" customFormat="1" hidden="1" outlineLevel="2" x14ac:dyDescent="0.25">
      <c r="A62" s="27"/>
      <c r="B62" s="11" t="str">
        <f>CONCATENATE("          ", "6258", " - ", "MEMBERSHIP DUES")</f>
        <v xml:space="preserve">          6258 - MEMBERSHIP DUES</v>
      </c>
      <c r="C62" s="11"/>
      <c r="D62" s="7"/>
      <c r="E62" s="2"/>
      <c r="F62" s="6">
        <f t="shared" si="36"/>
        <v>0</v>
      </c>
      <c r="G62" s="2"/>
      <c r="H62" s="7">
        <v>85</v>
      </c>
      <c r="I62" s="2"/>
      <c r="J62" s="6">
        <f t="shared" si="37"/>
        <v>2.0492297307071047E-3</v>
      </c>
      <c r="K62" s="2"/>
      <c r="L62" s="7">
        <f t="shared" si="38"/>
        <v>-85</v>
      </c>
      <c r="M62" s="2"/>
      <c r="N62" s="6">
        <f t="shared" si="39"/>
        <v>-1</v>
      </c>
      <c r="O62" s="11"/>
      <c r="P62" s="7"/>
      <c r="Q62" s="2"/>
      <c r="R62" s="6">
        <f t="shared" si="40"/>
        <v>0</v>
      </c>
      <c r="S62" s="2"/>
      <c r="T62" s="7">
        <v>340</v>
      </c>
      <c r="U62" s="2"/>
      <c r="V62" s="6">
        <f t="shared" si="41"/>
        <v>1.1398227240422137E-3</v>
      </c>
      <c r="W62" s="2"/>
      <c r="X62" s="7">
        <f t="shared" si="42"/>
        <v>-340</v>
      </c>
      <c r="Y62" s="2"/>
      <c r="Z62" s="6">
        <f t="shared" si="43"/>
        <v>-1</v>
      </c>
    </row>
    <row r="63" spans="1:26" s="28" customFormat="1" outlineLevel="1" collapsed="1" x14ac:dyDescent="0.25">
      <c r="A63" s="29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SUM(OSRRefD22_11x_0)</f>
        <v>13312.42</v>
      </c>
      <c r="E63" s="1"/>
      <c r="F63" s="5">
        <f t="shared" si="36"/>
        <v>0.37951991333352342</v>
      </c>
      <c r="G63" s="1"/>
      <c r="H63" s="1">
        <f>SUM(OSRRefH22_11x_0)</f>
        <v>5800</v>
      </c>
      <c r="I63" s="1"/>
      <c r="J63" s="5">
        <f t="shared" si="37"/>
        <v>0.13982979338942597</v>
      </c>
      <c r="K63" s="1"/>
      <c r="L63" s="1">
        <f t="shared" si="38"/>
        <v>7512.42</v>
      </c>
      <c r="M63" s="1"/>
      <c r="N63" s="5">
        <f t="shared" si="39"/>
        <v>1.295244827586207</v>
      </c>
      <c r="O63" s="14"/>
      <c r="P63" s="1">
        <f>SUM(OSRRefP22_11x_0)</f>
        <v>15289.080000000002</v>
      </c>
      <c r="Q63" s="1"/>
      <c r="R63" s="5">
        <f t="shared" si="40"/>
        <v>5.3023197744384375E-2</v>
      </c>
      <c r="S63" s="1"/>
      <c r="T63" s="1">
        <f>SUM(OSRRefT22_11x_0)</f>
        <v>23200</v>
      </c>
      <c r="U63" s="1"/>
      <c r="V63" s="5">
        <f t="shared" si="41"/>
        <v>7.7776138816998103E-2</v>
      </c>
      <c r="W63" s="1"/>
      <c r="X63" s="1">
        <f t="shared" si="42"/>
        <v>-7910.9199999999983</v>
      </c>
      <c r="Y63" s="1"/>
      <c r="Z63" s="5">
        <f t="shared" si="43"/>
        <v>-0.34098793103448266</v>
      </c>
    </row>
    <row r="64" spans="1:26" s="24" customFormat="1" hidden="1" outlineLevel="2" x14ac:dyDescent="0.25">
      <c r="A64" s="27"/>
      <c r="B64" s="11" t="str">
        <f>CONCATENATE("          ", "6234", " - ", "EXPENDABLE SUPPLIES &amp; EQUIPMEN")</f>
        <v xml:space="preserve">          6234 - EXPENDABLE SUPPLIES &amp; EQUIPMEN</v>
      </c>
      <c r="C64" s="11"/>
      <c r="D64" s="7"/>
      <c r="E64" s="2"/>
      <c r="F64" s="6">
        <f t="shared" si="36"/>
        <v>0</v>
      </c>
      <c r="G64" s="2"/>
      <c r="H64" s="7">
        <v>5800</v>
      </c>
      <c r="I64" s="2"/>
      <c r="J64" s="6">
        <f t="shared" si="37"/>
        <v>0.13982979338942597</v>
      </c>
      <c r="K64" s="2"/>
      <c r="L64" s="7">
        <f t="shared" si="38"/>
        <v>-5800</v>
      </c>
      <c r="M64" s="2"/>
      <c r="N64" s="6">
        <f t="shared" si="39"/>
        <v>-1</v>
      </c>
      <c r="O64" s="11"/>
      <c r="P64" s="7"/>
      <c r="Q64" s="2"/>
      <c r="R64" s="6">
        <f t="shared" si="40"/>
        <v>0</v>
      </c>
      <c r="S64" s="2"/>
      <c r="T64" s="7">
        <v>23200</v>
      </c>
      <c r="U64" s="2"/>
      <c r="V64" s="6">
        <f t="shared" si="41"/>
        <v>7.7776138816998103E-2</v>
      </c>
      <c r="W64" s="2"/>
      <c r="X64" s="7">
        <f t="shared" si="42"/>
        <v>-23200</v>
      </c>
      <c r="Y64" s="2"/>
      <c r="Z64" s="6">
        <f t="shared" si="43"/>
        <v>-1</v>
      </c>
    </row>
    <row r="65" spans="1:26" s="24" customFormat="1" hidden="1" outlineLevel="2" x14ac:dyDescent="0.25">
      <c r="A65" s="27"/>
      <c r="B65" s="11" t="str">
        <f>CONCATENATE("          ", "6241", " - ", "OFFICE EXPENSE")</f>
        <v xml:space="preserve">          6241 - OFFICE EXPENSE</v>
      </c>
      <c r="C65" s="11"/>
      <c r="D65" s="7">
        <v>13295.88</v>
      </c>
      <c r="E65" s="2"/>
      <c r="F65" s="6">
        <f t="shared" si="36"/>
        <v>0.37904837927986995</v>
      </c>
      <c r="G65" s="2"/>
      <c r="H65" s="7"/>
      <c r="I65" s="2"/>
      <c r="J65" s="6">
        <f t="shared" si="37"/>
        <v>0</v>
      </c>
      <c r="K65" s="2"/>
      <c r="L65" s="7">
        <f t="shared" si="38"/>
        <v>13295.88</v>
      </c>
      <c r="M65" s="2"/>
      <c r="N65" s="6">
        <f t="shared" si="39"/>
        <v>0</v>
      </c>
      <c r="O65" s="11"/>
      <c r="P65" s="7">
        <v>15272.54</v>
      </c>
      <c r="Q65" s="2"/>
      <c r="R65" s="6">
        <f t="shared" si="40"/>
        <v>5.2965836301400747E-2</v>
      </c>
      <c r="S65" s="2"/>
      <c r="T65" s="7"/>
      <c r="U65" s="2"/>
      <c r="V65" s="6">
        <f t="shared" si="41"/>
        <v>0</v>
      </c>
      <c r="W65" s="2"/>
      <c r="X65" s="7">
        <f t="shared" si="42"/>
        <v>15272.54</v>
      </c>
      <c r="Y65" s="2"/>
      <c r="Z65" s="6">
        <f t="shared" si="43"/>
        <v>0</v>
      </c>
    </row>
    <row r="66" spans="1:26" s="24" customFormat="1" hidden="1" outlineLevel="2" x14ac:dyDescent="0.25">
      <c r="A66" s="27"/>
      <c r="B66" s="11" t="str">
        <f>CONCATENATE("          ", "6247", " - ", "STORE SUPPLIES")</f>
        <v xml:space="preserve">          6247 - STORE SUPPLIES</v>
      </c>
      <c r="C66" s="11"/>
      <c r="D66" s="7">
        <v>16.54</v>
      </c>
      <c r="E66" s="2"/>
      <c r="F66" s="6">
        <f t="shared" si="36"/>
        <v>4.715340536533911E-4</v>
      </c>
      <c r="G66" s="2"/>
      <c r="H66" s="7"/>
      <c r="I66" s="2"/>
      <c r="J66" s="6">
        <f t="shared" si="37"/>
        <v>0</v>
      </c>
      <c r="K66" s="2"/>
      <c r="L66" s="7">
        <f t="shared" si="38"/>
        <v>16.54</v>
      </c>
      <c r="M66" s="2"/>
      <c r="N66" s="6">
        <f t="shared" si="39"/>
        <v>0</v>
      </c>
      <c r="O66" s="11"/>
      <c r="P66" s="7">
        <v>16.54</v>
      </c>
      <c r="Q66" s="2"/>
      <c r="R66" s="6">
        <f t="shared" si="40"/>
        <v>5.7361442983627362E-5</v>
      </c>
      <c r="S66" s="2"/>
      <c r="T66" s="7"/>
      <c r="U66" s="2"/>
      <c r="V66" s="6">
        <f t="shared" si="41"/>
        <v>0</v>
      </c>
      <c r="W66" s="2"/>
      <c r="X66" s="7">
        <f t="shared" si="42"/>
        <v>16.54</v>
      </c>
      <c r="Y66" s="2"/>
      <c r="Z66" s="6">
        <f t="shared" si="43"/>
        <v>0</v>
      </c>
    </row>
    <row r="67" spans="1:26" s="28" customFormat="1" outlineLevel="1" collapsed="1" x14ac:dyDescent="0.25">
      <c r="A67" s="29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87.3</v>
      </c>
      <c r="E67" s="1"/>
      <c r="F67" s="5">
        <f t="shared" ref="F67:F70" si="44">IF(D$12=0,0,D67/D$12)</f>
        <v>2.4888103315562904E-3</v>
      </c>
      <c r="G67" s="1"/>
      <c r="H67" s="1">
        <f>SUM(OSRRefH22_12x_0)</f>
        <v>350</v>
      </c>
      <c r="I67" s="1"/>
      <c r="J67" s="5">
        <f t="shared" ref="J67:J70" si="45">IF(H$12=0,0,H67/H$12)</f>
        <v>8.438004773499843E-3</v>
      </c>
      <c r="K67" s="1"/>
      <c r="L67" s="1">
        <f t="shared" ref="L67:L70" si="46">+D67-H67</f>
        <v>-262.7</v>
      </c>
      <c r="M67" s="1"/>
      <c r="N67" s="5">
        <f t="shared" ref="N67:N70" si="47">IF(H67=0,0,L67/H67)</f>
        <v>-0.75057142857142856</v>
      </c>
      <c r="O67" s="14"/>
      <c r="P67" s="1">
        <f>SUM(OSRRefP22_12x_0)</f>
        <v>-76</v>
      </c>
      <c r="Q67" s="1"/>
      <c r="R67" s="5">
        <f t="shared" ref="R67:R70" si="48">IF(P$12=0,0,P67/P$12)</f>
        <v>-2.6357132205294317E-4</v>
      </c>
      <c r="S67" s="1"/>
      <c r="T67" s="1">
        <f>SUM(OSRRefT22_12x_0)</f>
        <v>1400</v>
      </c>
      <c r="U67" s="1"/>
      <c r="V67" s="5">
        <f t="shared" ref="V67:V70" si="49">IF(T$12=0,0,T67/T$12)</f>
        <v>4.6933876872326443E-3</v>
      </c>
      <c r="W67" s="1"/>
      <c r="X67" s="1">
        <f t="shared" ref="X67:X70" si="50">+P67-T67</f>
        <v>-1476</v>
      </c>
      <c r="Y67" s="1"/>
      <c r="Z67" s="5">
        <f t="shared" ref="Z67:Z70" si="51">IF(T67=0,0,X67/T67)</f>
        <v>-1.0542857142857143</v>
      </c>
    </row>
    <row r="68" spans="1:26" s="24" customFormat="1" hidden="1" outlineLevel="2" x14ac:dyDescent="0.25">
      <c r="A68" s="27"/>
      <c r="B68" s="11" t="str">
        <f>CONCATENATE("          ", "6309", " - ", "TELEPHONE")</f>
        <v xml:space="preserve">          6309 - TELEPHONE</v>
      </c>
      <c r="C68" s="11"/>
      <c r="D68" s="7">
        <v>87.3</v>
      </c>
      <c r="E68" s="2"/>
      <c r="F68" s="6">
        <f t="shared" si="44"/>
        <v>2.4888103315562904E-3</v>
      </c>
      <c r="G68" s="2"/>
      <c r="H68" s="7">
        <v>350</v>
      </c>
      <c r="I68" s="2"/>
      <c r="J68" s="6">
        <f t="shared" si="45"/>
        <v>8.438004773499843E-3</v>
      </c>
      <c r="K68" s="2"/>
      <c r="L68" s="7">
        <f t="shared" si="46"/>
        <v>-262.7</v>
      </c>
      <c r="M68" s="2"/>
      <c r="N68" s="6">
        <f t="shared" si="47"/>
        <v>-0.75057142857142856</v>
      </c>
      <c r="O68" s="11"/>
      <c r="P68" s="7">
        <v>-76</v>
      </c>
      <c r="Q68" s="2"/>
      <c r="R68" s="6">
        <f t="shared" si="48"/>
        <v>-2.6357132205294317E-4</v>
      </c>
      <c r="S68" s="2"/>
      <c r="T68" s="7">
        <v>1400</v>
      </c>
      <c r="U68" s="2"/>
      <c r="V68" s="6">
        <f t="shared" si="49"/>
        <v>4.6933876872326443E-3</v>
      </c>
      <c r="W68" s="2"/>
      <c r="X68" s="7">
        <f t="shared" si="50"/>
        <v>-1476</v>
      </c>
      <c r="Y68" s="2"/>
      <c r="Z68" s="6">
        <f t="shared" si="51"/>
        <v>-1.0542857142857143</v>
      </c>
    </row>
    <row r="69" spans="1:26" s="28" customFormat="1" outlineLevel="1" collapsed="1" x14ac:dyDescent="0.25">
      <c r="A69" s="29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2000</v>
      </c>
      <c r="E69" s="1"/>
      <c r="F69" s="5">
        <f t="shared" si="44"/>
        <v>5.701741882144995E-2</v>
      </c>
      <c r="G69" s="1"/>
      <c r="H69" s="1">
        <f>SUM(OSRRefH22_13x_0)</f>
        <v>0</v>
      </c>
      <c r="I69" s="1"/>
      <c r="J69" s="5">
        <f t="shared" si="45"/>
        <v>0</v>
      </c>
      <c r="K69" s="1"/>
      <c r="L69" s="1">
        <f t="shared" si="46"/>
        <v>2000</v>
      </c>
      <c r="M69" s="1"/>
      <c r="N69" s="5">
        <f t="shared" si="47"/>
        <v>0</v>
      </c>
      <c r="O69" s="14"/>
      <c r="P69" s="1">
        <f>SUM(OSRRefP22_13x_0)</f>
        <v>2000</v>
      </c>
      <c r="Q69" s="1"/>
      <c r="R69" s="5">
        <f t="shared" si="48"/>
        <v>6.9360874224458722E-3</v>
      </c>
      <c r="S69" s="1"/>
      <c r="T69" s="1">
        <f>SUM(OSRRefT22_13x_0)</f>
        <v>0</v>
      </c>
      <c r="U69" s="1"/>
      <c r="V69" s="5">
        <f t="shared" si="49"/>
        <v>0</v>
      </c>
      <c r="W69" s="1"/>
      <c r="X69" s="1">
        <f t="shared" si="50"/>
        <v>2000</v>
      </c>
      <c r="Y69" s="1"/>
      <c r="Z69" s="5">
        <f t="shared" si="51"/>
        <v>0</v>
      </c>
    </row>
    <row r="70" spans="1:26" s="24" customFormat="1" hidden="1" outlineLevel="2" x14ac:dyDescent="0.25">
      <c r="A70" s="27"/>
      <c r="B70" s="11" t="str">
        <f>CONCATENATE("          ", "6376", " - ", "TRAINING")</f>
        <v xml:space="preserve">          6376 - TRAINING</v>
      </c>
      <c r="C70" s="11"/>
      <c r="D70" s="7">
        <v>2000</v>
      </c>
      <c r="E70" s="2"/>
      <c r="F70" s="6">
        <f t="shared" si="44"/>
        <v>5.701741882144995E-2</v>
      </c>
      <c r="G70" s="2"/>
      <c r="H70" s="7"/>
      <c r="I70" s="2"/>
      <c r="J70" s="6">
        <f t="shared" si="45"/>
        <v>0</v>
      </c>
      <c r="K70" s="2"/>
      <c r="L70" s="7">
        <f t="shared" si="46"/>
        <v>2000</v>
      </c>
      <c r="M70" s="2"/>
      <c r="N70" s="6">
        <f t="shared" si="47"/>
        <v>0</v>
      </c>
      <c r="O70" s="11"/>
      <c r="P70" s="7">
        <v>2000</v>
      </c>
      <c r="Q70" s="2"/>
      <c r="R70" s="6">
        <f t="shared" si="48"/>
        <v>6.9360874224458722E-3</v>
      </c>
      <c r="S70" s="2"/>
      <c r="T70" s="7"/>
      <c r="U70" s="2"/>
      <c r="V70" s="6">
        <f t="shared" si="49"/>
        <v>0</v>
      </c>
      <c r="W70" s="2"/>
      <c r="X70" s="7">
        <f t="shared" si="50"/>
        <v>2000</v>
      </c>
      <c r="Y70" s="2"/>
      <c r="Z70" s="6">
        <f t="shared" si="51"/>
        <v>0</v>
      </c>
    </row>
    <row r="71" spans="1:26" s="60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25">
      <c r="A72" s="10"/>
      <c r="B72" s="25" t="s">
        <v>293</v>
      </c>
      <c r="C72" s="10"/>
      <c r="D72" s="4">
        <f>SUM(OSRRefD25x_0)</f>
        <v>1668.3</v>
      </c>
      <c r="E72" s="4"/>
      <c r="F72" s="12">
        <f t="shared" ref="F72:F73" si="52">IF(D$12=0,0,D72/D$12)</f>
        <v>4.7561079909912478E-2</v>
      </c>
      <c r="G72" s="4"/>
      <c r="H72" s="4">
        <f>SUM(OSRRefH25x_0)</f>
        <v>2400</v>
      </c>
      <c r="I72" s="4"/>
      <c r="J72" s="12">
        <f t="shared" ref="J72:J73" si="53">IF(H$12=0,0,H72/H$12)</f>
        <v>5.7860604161141783E-2</v>
      </c>
      <c r="K72" s="4"/>
      <c r="L72" s="4">
        <f t="shared" ref="L72:L73" si="54">+D72-H72</f>
        <v>-731.7</v>
      </c>
      <c r="M72" s="4"/>
      <c r="N72" s="12">
        <f t="shared" ref="N72:N73" si="55">IF(H72=0,0,L72/H72)</f>
        <v>-0.30487500000000001</v>
      </c>
      <c r="O72" s="10"/>
      <c r="P72" s="4">
        <f>SUM(OSRRefP25x_0)</f>
        <v>4396.87</v>
      </c>
      <c r="Q72" s="4"/>
      <c r="R72" s="12">
        <f t="shared" ref="R72:R73" si="56">IF(P$12=0,0,P72/P$12)</f>
        <v>1.5248537352564791E-2</v>
      </c>
      <c r="S72" s="4"/>
      <c r="T72" s="4">
        <f>SUM(OSRRefT25x_0)</f>
        <v>9600</v>
      </c>
      <c r="U72" s="4"/>
      <c r="V72" s="12">
        <f t="shared" ref="V72:V73" si="57">IF(T$12=0,0,T72/T$12)</f>
        <v>3.218322985530956E-2</v>
      </c>
      <c r="W72" s="4"/>
      <c r="X72" s="4">
        <f t="shared" ref="X72:X73" si="58">+P72-T72</f>
        <v>-5203.13</v>
      </c>
      <c r="Y72" s="4"/>
      <c r="Z72" s="12">
        <f t="shared" ref="Z72:Z73" si="59">IF(T72=0,0,X72/T72)</f>
        <v>-0.54199270833333335</v>
      </c>
    </row>
    <row r="73" spans="1:26" s="24" customFormat="1" hidden="1" outlineLevel="1" x14ac:dyDescent="0.25">
      <c r="A73" s="44"/>
      <c r="B73" s="11" t="str">
        <f>CONCATENATE("          ", "9150", " - ", "MISC. INCOME")</f>
        <v xml:space="preserve">          9150 - MISC. INCOME</v>
      </c>
      <c r="C73" s="11"/>
      <c r="D73" s="2">
        <f>--1668.3</f>
        <v>1668.3</v>
      </c>
      <c r="E73" s="2"/>
      <c r="F73" s="19">
        <f t="shared" si="52"/>
        <v>4.7561079909912478E-2</v>
      </c>
      <c r="G73" s="2"/>
      <c r="H73" s="2">
        <v>2400</v>
      </c>
      <c r="I73" s="2"/>
      <c r="J73" s="19">
        <f t="shared" si="53"/>
        <v>5.7860604161141783E-2</v>
      </c>
      <c r="K73" s="2"/>
      <c r="L73" s="2">
        <f t="shared" si="54"/>
        <v>-731.7</v>
      </c>
      <c r="M73" s="2"/>
      <c r="N73" s="19">
        <f t="shared" si="55"/>
        <v>-0.30487500000000001</v>
      </c>
      <c r="O73" s="11"/>
      <c r="P73" s="2">
        <f>--4396.87</f>
        <v>4396.87</v>
      </c>
      <c r="Q73" s="2"/>
      <c r="R73" s="19">
        <f t="shared" si="56"/>
        <v>1.5248537352564791E-2</v>
      </c>
      <c r="S73" s="2"/>
      <c r="T73" s="2">
        <v>9600</v>
      </c>
      <c r="U73" s="2"/>
      <c r="V73" s="19">
        <f t="shared" si="57"/>
        <v>3.218322985530956E-2</v>
      </c>
      <c r="W73" s="2"/>
      <c r="X73" s="2">
        <f t="shared" si="58"/>
        <v>-5203.13</v>
      </c>
      <c r="Y73" s="2"/>
      <c r="Z73" s="19">
        <f t="shared" si="59"/>
        <v>-0.54199270833333335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6" t="s">
        <v>277</v>
      </c>
      <c r="C75" s="26"/>
      <c r="D75" s="21">
        <f>+D17-D19+D72</f>
        <v>-432.76000000000499</v>
      </c>
      <c r="E75" s="13"/>
      <c r="F75" s="20">
        <f>IF(D$12=0,0,D75/D$12)</f>
        <v>-1.2337429084585483E-2</v>
      </c>
      <c r="G75" s="13"/>
      <c r="H75" s="21">
        <f>+H17-H19+H72</f>
        <v>4239.2625885278758</v>
      </c>
      <c r="I75" s="13"/>
      <c r="J75" s="20">
        <f>IF(H$12=0,0,H75/H$12)</f>
        <v>0.10220262273747863</v>
      </c>
      <c r="K75" s="15"/>
      <c r="L75" s="21">
        <f>+D75-H75</f>
        <v>-4672.0225885278805</v>
      </c>
      <c r="M75" s="15"/>
      <c r="N75" s="20">
        <f>IF(H75=0,0,L75/H75)</f>
        <v>-1.1020837919243602</v>
      </c>
      <c r="O75" s="25"/>
      <c r="P75" s="21">
        <f>+P17-P19+P72</f>
        <v>66859.01999999996</v>
      </c>
      <c r="Q75" s="13"/>
      <c r="R75" s="20">
        <f>IF(P$12=0,0,P75/P$12)</f>
        <v>0.23187000384952838</v>
      </c>
      <c r="S75" s="13"/>
      <c r="T75" s="21">
        <f>+T17-T19+T72</f>
        <v>30486.204993700376</v>
      </c>
      <c r="U75" s="13"/>
      <c r="V75" s="20">
        <f>IF(T$12=0,0,T75/T$12)</f>
        <v>0.10220255653420264</v>
      </c>
      <c r="W75" s="15"/>
      <c r="X75" s="21">
        <f>+P75-T75</f>
        <v>36372.815006299585</v>
      </c>
      <c r="Y75" s="15"/>
      <c r="Z75" s="20">
        <f>IF(T75=0,0,X75/T75)</f>
        <v>1.1930909410933768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2"/>
      <c r="B77" s="10" t="s">
        <v>128</v>
      </c>
      <c r="C77" s="10"/>
      <c r="D77" s="4">
        <v>1981.88</v>
      </c>
      <c r="E77" s="4"/>
      <c r="F77" s="12">
        <f>IF(D$12=0,0,D77/D$12)</f>
        <v>5.6500841006927621E-2</v>
      </c>
      <c r="G77" s="4"/>
      <c r="H77" s="4">
        <v>6415</v>
      </c>
      <c r="I77" s="4"/>
      <c r="J77" s="12">
        <f>IF(H$12=0,0,H77/H$12)</f>
        <v>0.15465657320571854</v>
      </c>
      <c r="K77" s="4"/>
      <c r="L77" s="4">
        <f>+D77-H77</f>
        <v>-4433.12</v>
      </c>
      <c r="M77" s="4"/>
      <c r="N77" s="12">
        <f>IF(H77=0,0,L77/H77)</f>
        <v>-0.69105533904910366</v>
      </c>
      <c r="O77" s="10"/>
      <c r="P77" s="4">
        <v>33330.53</v>
      </c>
      <c r="Q77" s="4"/>
      <c r="R77" s="12">
        <f>IF(P$12=0,0,P77/P$12)</f>
        <v>0.11559173495822742</v>
      </c>
      <c r="S77" s="4"/>
      <c r="T77" s="4">
        <v>34301</v>
      </c>
      <c r="U77" s="4"/>
      <c r="V77" s="12">
        <f>IF(T$12=0,0,T77/T$12)</f>
        <v>0.11499135075697639</v>
      </c>
      <c r="W77" s="4"/>
      <c r="X77" s="4">
        <f>+P77-T77</f>
        <v>-970.47000000000116</v>
      </c>
      <c r="Y77" s="4"/>
      <c r="Z77" s="12">
        <f>IF(T77=0,0,X77/T77)</f>
        <v>-2.8292761143990004E-2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6" t="s">
        <v>126</v>
      </c>
      <c r="C79" s="26"/>
      <c r="D79" s="31">
        <f>+D75-D77</f>
        <v>-2414.6400000000049</v>
      </c>
      <c r="E79" s="13"/>
      <c r="F79" s="33">
        <f>IF(D$12=0,0,D79/D$12)</f>
        <v>-6.8838270091513096E-2</v>
      </c>
      <c r="G79" s="13"/>
      <c r="H79" s="31">
        <f>+H75-H77</f>
        <v>-2175.7374114721242</v>
      </c>
      <c r="I79" s="13"/>
      <c r="J79" s="33">
        <f>IF(H$12=0,0,H79/H$12)</f>
        <v>-5.2453950468239932E-2</v>
      </c>
      <c r="K79" s="15"/>
      <c r="L79" s="31">
        <f>D79-H79</f>
        <v>-238.90258852788065</v>
      </c>
      <c r="M79" s="15"/>
      <c r="N79" s="33">
        <f>IF(H79=0,0,L79/H79)</f>
        <v>0.10980304299048521</v>
      </c>
      <c r="O79" s="25"/>
      <c r="P79" s="31">
        <f>+P75-P77</f>
        <v>33528.489999999962</v>
      </c>
      <c r="Q79" s="13"/>
      <c r="R79" s="33">
        <f>IF(P$12=0,0,P79/P$12)</f>
        <v>0.11627826889130097</v>
      </c>
      <c r="S79" s="13"/>
      <c r="T79" s="31">
        <f>+T75-T77</f>
        <v>-3814.7950062996242</v>
      </c>
      <c r="U79" s="13"/>
      <c r="V79" s="33">
        <f>IF(T$12=0,0,T79/T$12)</f>
        <v>-1.278879422277374E-2</v>
      </c>
      <c r="W79" s="15"/>
      <c r="X79" s="31">
        <f>P79-T79</f>
        <v>37343.285006299586</v>
      </c>
      <c r="Y79" s="15"/>
      <c r="Z79" s="33">
        <f>IF(T79=0,0,X79/T79)</f>
        <v>-9.789067287922979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6" t="s">
        <v>294</v>
      </c>
      <c r="C82" s="26"/>
      <c r="D82" s="35">
        <f>SUM(D79:D81)</f>
        <v>-2414.6400000000049</v>
      </c>
      <c r="E82" s="13"/>
      <c r="F82" s="32">
        <f>IF(D$12=0,0,D82/D$12)</f>
        <v>-6.8838270091513096E-2</v>
      </c>
      <c r="G82" s="13"/>
      <c r="H82" s="35">
        <f>SUM(H79:H81)</f>
        <v>-2175.7374114721242</v>
      </c>
      <c r="I82" s="13"/>
      <c r="J82" s="32">
        <f>IF(H$12=0,0,H82/H$12)</f>
        <v>-5.2453950468239932E-2</v>
      </c>
      <c r="K82" s="15"/>
      <c r="L82" s="35">
        <f>+D82-H82</f>
        <v>-238.90258852788065</v>
      </c>
      <c r="M82" s="15"/>
      <c r="N82" s="32">
        <f>IF(H82=0,0,L82/H82)</f>
        <v>0.10980304299048521</v>
      </c>
      <c r="O82" s="25"/>
      <c r="P82" s="35">
        <f>SUM(P79:P81)</f>
        <v>33528.489999999962</v>
      </c>
      <c r="Q82" s="13"/>
      <c r="R82" s="32">
        <f>IF(P$12=0,0,P82/P$12)</f>
        <v>0.11627826889130097</v>
      </c>
      <c r="S82" s="13"/>
      <c r="T82" s="35">
        <f>SUM(T79:T81)</f>
        <v>-3814.7950062996242</v>
      </c>
      <c r="U82" s="13"/>
      <c r="V82" s="32">
        <f>IF(T$12=0,0,T82/T$12)</f>
        <v>-1.278879422277374E-2</v>
      </c>
      <c r="W82" s="15"/>
      <c r="X82" s="35">
        <f>+P82-T82</f>
        <v>37343.285006299586</v>
      </c>
      <c r="Y82" s="15"/>
      <c r="Z82" s="32">
        <f>IF(T82=0,0,X82/T82)</f>
        <v>-9.789067287922979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59">
        <v>44517.962875613426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62" t="s">
        <v>56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7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4" t="s">
        <v>23</v>
      </c>
    </row>
    <row r="3" spans="1:26" x14ac:dyDescent="0.25">
      <c r="D3" s="54" t="s">
        <v>237</v>
      </c>
      <c r="E3" s="17"/>
      <c r="F3" s="45"/>
      <c r="G3" s="17"/>
      <c r="H3" s="17"/>
      <c r="I3" s="17"/>
      <c r="J3" s="40"/>
      <c r="K3" s="17"/>
      <c r="L3" s="17"/>
      <c r="M3" s="17"/>
      <c r="N3" s="45"/>
      <c r="O3" s="61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4" t="e">
        <f ca="1">CONCATENATE("Period ",RIGHT(_xll.OneStop.ReportPlayer.OSRFunctions.OSRGet("Period","PeriodId"),2),", ",_xll.OneStop.ReportPlayer.OSRFunctions.OSRGet("Period","Year"))</f>
        <v>#NAME?</v>
      </c>
      <c r="E4" s="17"/>
      <c r="F4" s="45"/>
      <c r="G4" s="17"/>
      <c r="H4" s="17"/>
      <c r="I4" s="17"/>
      <c r="J4" s="40"/>
      <c r="K4" s="17"/>
      <c r="L4" s="17"/>
      <c r="M4" s="17"/>
      <c r="N4" s="45"/>
      <c r="O4" s="61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5"/>
      <c r="G5" s="17"/>
      <c r="H5" s="17"/>
      <c r="I5" s="17"/>
      <c r="J5" s="40"/>
      <c r="K5" s="17"/>
      <c r="L5" s="17"/>
      <c r="M5" s="17"/>
      <c r="N5" s="45"/>
      <c r="O5" s="61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5"/>
      <c r="G6" s="17"/>
      <c r="H6" s="17"/>
      <c r="I6" s="17"/>
      <c r="J6" s="40"/>
      <c r="K6" s="17"/>
      <c r="L6" s="17"/>
      <c r="M6" s="17"/>
      <c r="N6" s="45"/>
      <c r="O6" s="55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6" t="s">
        <v>292</v>
      </c>
      <c r="E9" s="16"/>
      <c r="F9" s="37"/>
      <c r="G9" s="16"/>
      <c r="H9" s="16"/>
      <c r="I9" s="16"/>
      <c r="J9" s="49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49"/>
      <c r="W9" s="16"/>
      <c r="X9" s="16"/>
      <c r="Y9" s="16"/>
      <c r="Z9" s="37"/>
    </row>
    <row r="10" spans="1:26" x14ac:dyDescent="0.25">
      <c r="A10" s="10"/>
      <c r="B10" s="58"/>
      <c r="C10" s="10"/>
      <c r="D10" s="43" t="s">
        <v>57</v>
      </c>
      <c r="E10" s="30"/>
      <c r="F10" s="39" t="s">
        <v>40</v>
      </c>
      <c r="G10" s="30"/>
      <c r="H10" s="47" t="s">
        <v>238</v>
      </c>
      <c r="I10" s="30"/>
      <c r="J10" s="51" t="s">
        <v>58</v>
      </c>
      <c r="K10" s="10"/>
      <c r="L10" s="43" t="s">
        <v>127</v>
      </c>
      <c r="M10" s="10"/>
      <c r="N10" s="39" t="s">
        <v>258</v>
      </c>
      <c r="O10" s="10"/>
      <c r="P10" s="63" t="s">
        <v>57</v>
      </c>
      <c r="Q10" s="30"/>
      <c r="R10" s="39" t="s">
        <v>40</v>
      </c>
      <c r="S10" s="30"/>
      <c r="T10" s="47" t="s">
        <v>238</v>
      </c>
      <c r="U10" s="30"/>
      <c r="V10" s="51" t="s">
        <v>58</v>
      </c>
      <c r="W10" s="10"/>
      <c r="X10" s="43" t="s">
        <v>127</v>
      </c>
      <c r="Y10" s="10"/>
      <c r="Z10" s="39" t="s">
        <v>258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108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295</v>
      </c>
      <c r="C20" s="10"/>
      <c r="D20" s="22" t="e">
        <f ca="1">SUM(_xll.OneStop.ReportPlayer.OSRFunctions.OSRRef(D22))</f>
        <v>#NAME?</v>
      </c>
      <c r="E20" s="22"/>
      <c r="F20" s="34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4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4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4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8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277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126</v>
      </c>
      <c r="C31" s="26"/>
      <c r="D31" s="31" t="e">
        <f ca="1">+D27-D29</f>
        <v>#NAME?</v>
      </c>
      <c r="E31" s="13"/>
      <c r="F31" s="33" t="e">
        <f ca="1">IF(D$12=0,0,D31/D$12)</f>
        <v>#NAME?</v>
      </c>
      <c r="G31" s="13"/>
      <c r="H31" s="31" t="e">
        <f ca="1">+H27-H29</f>
        <v>#NAME?</v>
      </c>
      <c r="I31" s="13"/>
      <c r="J31" s="33" t="e">
        <f ca="1">IF(H$12=0,0,H31/H$12)</f>
        <v>#NAME?</v>
      </c>
      <c r="K31" s="15"/>
      <c r="L31" s="31" t="e">
        <f ca="1">D31-H31</f>
        <v>#NAME?</v>
      </c>
      <c r="M31" s="15"/>
      <c r="N31" s="33" t="e">
        <f ca="1">IF(H31=0,0,L31/H31)</f>
        <v>#NAME?</v>
      </c>
      <c r="O31" s="25"/>
      <c r="P31" s="31" t="e">
        <f ca="1">+P27-P29</f>
        <v>#NAME?</v>
      </c>
      <c r="Q31" s="13"/>
      <c r="R31" s="33" t="e">
        <f ca="1">IF(P$12=0,0,P31/P$12)</f>
        <v>#NAME?</v>
      </c>
      <c r="S31" s="13"/>
      <c r="T31" s="31" t="e">
        <f ca="1">+T27-T29</f>
        <v>#NAME?</v>
      </c>
      <c r="U31" s="13"/>
      <c r="V31" s="33" t="e">
        <f ca="1">IF(T$12=0,0,T31/T$12)</f>
        <v>#NAME?</v>
      </c>
      <c r="W31" s="15"/>
      <c r="X31" s="31" t="e">
        <f ca="1">P31-T31</f>
        <v>#NAME?</v>
      </c>
      <c r="Y31" s="15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294</v>
      </c>
      <c r="C36" s="26"/>
      <c r="D36" s="35" t="e">
        <f ca="1">SUM(D31:D35)</f>
        <v>#NAME?</v>
      </c>
      <c r="E36" s="13"/>
      <c r="F36" s="32" t="e">
        <f ca="1">IF(D$12=0,0,D36/D$12)</f>
        <v>#NAME?</v>
      </c>
      <c r="G36" s="13"/>
      <c r="H36" s="35" t="e">
        <f ca="1">SUM(H31:H35)</f>
        <v>#NAME?</v>
      </c>
      <c r="I36" s="13"/>
      <c r="J36" s="32" t="e">
        <f ca="1">IF(H$12=0,0,H36/H$12)</f>
        <v>#NAME?</v>
      </c>
      <c r="K36" s="15"/>
      <c r="L36" s="35" t="e">
        <f ca="1">+D36-H36</f>
        <v>#NAME?</v>
      </c>
      <c r="M36" s="15"/>
      <c r="N36" s="32" t="e">
        <f ca="1">IF(H36=0,0,L36/H36)</f>
        <v>#NAME?</v>
      </c>
      <c r="O36" s="25"/>
      <c r="P36" s="35" t="e">
        <f ca="1">SUM(P31:P35)</f>
        <v>#NAME?</v>
      </c>
      <c r="Q36" s="13"/>
      <c r="R36" s="32" t="e">
        <f ca="1">IF(P$12=0,0,P36/P$12)</f>
        <v>#NAME?</v>
      </c>
      <c r="S36" s="13"/>
      <c r="T36" s="35" t="e">
        <f ca="1">SUM(T31:T35)</f>
        <v>#NAME?</v>
      </c>
      <c r="U36" s="13"/>
      <c r="V36" s="32" t="e">
        <f ca="1">IF(T$12=0,0,T36/T$12)</f>
        <v>#NAME?</v>
      </c>
      <c r="W36" s="15"/>
      <c r="X36" s="35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7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93</vt:i4>
      </vt:variant>
      <vt:variant>
        <vt:lpstr>Named Ranges</vt:lpstr>
      </vt:variant>
      <vt:variant>
        <vt:i4>3394</vt:i4>
      </vt:variant>
    </vt:vector>
  </HeadingPairs>
  <TitlesOfParts>
    <vt:vector size="3487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492</vt:lpstr>
      <vt:lpstr>430</vt:lpstr>
      <vt:lpstr>433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'310'!OSRRefD13x_0</vt:lpstr>
      <vt:lpstr>'310 &amp; 491'!OSRRefD13x_0</vt:lpstr>
      <vt:lpstr>'311'!OSRRefD13x_0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'415'!OSRRefD13x_0</vt:lpstr>
      <vt:lpstr>'418'!OSRRefD13x_0</vt:lpstr>
      <vt:lpstr>'425'!OSRRefD13x_0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'310'!OSRRefD16x_0</vt:lpstr>
      <vt:lpstr>'310 &amp; 491'!OSRRefD16x_0</vt:lpstr>
      <vt:lpstr>'311'!OSRRefD16x_0</vt:lpstr>
      <vt:lpstr>'315'!OSRRefD16x_0</vt:lpstr>
      <vt:lpstr>'316'!OSRRefD16x_0</vt:lpstr>
      <vt:lpstr>'317'!OSRRefD16x_0</vt:lpstr>
      <vt:lpstr>'321'!OSRRefD16x_0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'321'!OSRRefD22_10x_0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'315'!OSRRefD22_11x_0</vt:lpstr>
      <vt:lpstr>'321'!OSRRefD22_11x_0</vt:lpstr>
      <vt:lpstr>'325'!OSRRefD22_11x_0</vt:lpstr>
      <vt:lpstr>'326'!OSRRefD22_11x_0</vt:lpstr>
      <vt:lpstr>'330'!OSRRefD22_11x_0</vt:lpstr>
      <vt:lpstr>'331'!OSRRefD22_11x_0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Summary!OSRRefD22_11x_0</vt:lpstr>
      <vt:lpstr>'201'!OSRRefD22_12x_0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'310'!OSRRefD22_12x_0</vt:lpstr>
      <vt:lpstr>'310 &amp; 491'!OSRRefD22_12x_0</vt:lpstr>
      <vt:lpstr>'315'!OSRRefD22_12x_0</vt:lpstr>
      <vt:lpstr>'325'!OSRRefD22_12x_0</vt:lpstr>
      <vt:lpstr>'326'!OSRRefD22_12x_0</vt:lpstr>
      <vt:lpstr>'330'!OSRRefD22_12x_0</vt:lpstr>
      <vt:lpstr>'331'!OSRRefD22_12x_0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'310'!OSRRefD22_13x_0</vt:lpstr>
      <vt:lpstr>'310 &amp; 491'!OSRRefD22_13x_0</vt:lpstr>
      <vt:lpstr>'315'!OSRRefD22_13x_0</vt:lpstr>
      <vt:lpstr>'325'!OSRRefD22_13x_0</vt:lpstr>
      <vt:lpstr>'326'!OSRRefD22_13x_0</vt:lpstr>
      <vt:lpstr>'331'!OSRRefD22_13x_0</vt:lpstr>
      <vt:lpstr>'405'!OSRRefD22_13x_0</vt:lpstr>
      <vt:lpstr>'411'!OSRRefD22_13x_0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Summary!OSRRefD22_13x_0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'415'!OSRRefD22_14x_0</vt:lpstr>
      <vt:lpstr>'418'!OSRRefD22_14x_0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'326'!OSRRefD22_15x_0</vt:lpstr>
      <vt:lpstr>'331'!OSRRefD22_15x_0</vt:lpstr>
      <vt:lpstr>'405'!OSRRefD22_15x_0</vt:lpstr>
      <vt:lpstr>'415'!OSRRefD22_15x_0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'326'!OSRRefD22_16x_0</vt:lpstr>
      <vt:lpstr>'331'!OSRRefD22_16x_0</vt:lpstr>
      <vt:lpstr>'415'!OSRRefD22_16x_0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 &amp; 491'!OSRRefD22_17x_0</vt:lpstr>
      <vt:lpstr>'326'!OSRRefD22_17x_0</vt:lpstr>
      <vt:lpstr>'331'!OSRRefD22_17x_0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'315'!OSRRefD22_1x_0</vt:lpstr>
      <vt:lpstr>'316'!OSRRefD22_1x_0</vt:lpstr>
      <vt:lpstr>'317'!OSRRefD22_1x_0</vt:lpstr>
      <vt:lpstr>'321'!OSRRefD22_1x_0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'331'!OSRRefD22_20x_0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'315'!OSRRefD22_2x_0</vt:lpstr>
      <vt:lpstr>'316'!OSRRefD22_2x_0</vt:lpstr>
      <vt:lpstr>'317'!OSRRefD22_2x_0</vt:lpstr>
      <vt:lpstr>'321'!OSRRefD22_2x_0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'411'!OSRRefD22_2x_0</vt:lpstr>
      <vt:lpstr>'412'!OSRRefD22_2x_0</vt:lpstr>
      <vt:lpstr>'413'!OSRRefD22_2x_0</vt:lpstr>
      <vt:lpstr>'415'!OSRRefD22_2x_0</vt:lpstr>
      <vt:lpstr>'418'!OSRRefD22_2x_0</vt:lpstr>
      <vt:lpstr>'423'!OSRRefD22_2x_0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'315'!OSRRefD22_3x_0</vt:lpstr>
      <vt:lpstr>'316'!OSRRefD22_3x_0</vt:lpstr>
      <vt:lpstr>'317'!OSRRefD22_3x_0</vt:lpstr>
      <vt:lpstr>'321'!OSRRefD22_3x_0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'411'!OSRRefD22_3x_0</vt:lpstr>
      <vt:lpstr>'412'!OSRRefD22_3x_0</vt:lpstr>
      <vt:lpstr>'415'!OSRRefD22_3x_0</vt:lpstr>
      <vt:lpstr>'418'!OSRRefD22_3x_0</vt:lpstr>
      <vt:lpstr>'423'!OSRRefD22_3x_0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'310'!OSRRefD22_4x_0</vt:lpstr>
      <vt:lpstr>'310 &amp; 491'!OSRRefD22_4x_0</vt:lpstr>
      <vt:lpstr>'311'!OSRRefD22_4x_0</vt:lpstr>
      <vt:lpstr>'315'!OSRRefD22_4x_0</vt:lpstr>
      <vt:lpstr>'316'!OSRRefD22_4x_0</vt:lpstr>
      <vt:lpstr>'317'!OSRRefD22_4x_0</vt:lpstr>
      <vt:lpstr>'321'!OSRRefD22_4x_0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'411'!OSRRefD22_4x_0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'310'!OSRRefD22_5x_0</vt:lpstr>
      <vt:lpstr>'310 &amp; 491'!OSRRefD22_5x_0</vt:lpstr>
      <vt:lpstr>'311'!OSRRefD22_5x_0</vt:lpstr>
      <vt:lpstr>'315'!OSRRefD22_5x_0</vt:lpstr>
      <vt:lpstr>'316'!OSRRefD22_5x_0</vt:lpstr>
      <vt:lpstr>'317'!OSRRefD22_5x_0</vt:lpstr>
      <vt:lpstr>'321'!OSRRefD22_5x_0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'415'!OSRRefD22_5x_0</vt:lpstr>
      <vt:lpstr>'418'!OSRRefD22_5x_0</vt:lpstr>
      <vt:lpstr>'423'!OSRRefD22_5x_0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'310'!OSRRefD22_6x_0</vt:lpstr>
      <vt:lpstr>'310 &amp; 491'!OSRRefD22_6x_0</vt:lpstr>
      <vt:lpstr>'311'!OSRRefD22_6x_0</vt:lpstr>
      <vt:lpstr>'315'!OSRRefD22_6x_0</vt:lpstr>
      <vt:lpstr>'316'!OSRRefD22_6x_0</vt:lpstr>
      <vt:lpstr>'317'!OSRRefD22_6x_0</vt:lpstr>
      <vt:lpstr>'321'!OSRRefD22_6x_0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'415'!OSRRefD22_6x_0</vt:lpstr>
      <vt:lpstr>'418'!OSRRefD22_6x_0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'310'!OSRRefD22_7x_0</vt:lpstr>
      <vt:lpstr>'310 &amp; 491'!OSRRefD22_7x_0</vt:lpstr>
      <vt:lpstr>'311'!OSRRefD22_7x_0</vt:lpstr>
      <vt:lpstr>'315'!OSRRefD22_7x_0</vt:lpstr>
      <vt:lpstr>'316'!OSRRefD22_7x_0</vt:lpstr>
      <vt:lpstr>'317'!OSRRefD22_7x_0</vt:lpstr>
      <vt:lpstr>'321'!OSRRefD22_7x_0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'415'!OSRRefD22_7x_0</vt:lpstr>
      <vt:lpstr>'418'!OSRRefD22_7x_0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'415'!OSRRefD22_8x_0</vt:lpstr>
      <vt:lpstr>'418'!OSRRefD22_8x_0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'315'!OSRRefD22x_0</vt:lpstr>
      <vt:lpstr>'316'!OSRRefD22x_0</vt:lpstr>
      <vt:lpstr>'317'!OSRRefD22x_0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'415'!OSRRefD25x_0</vt:lpstr>
      <vt:lpstr>'418'!OSRRefD25x_0</vt:lpstr>
      <vt:lpstr>'423'!OSRRefD25x_0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'310'!OSRRefH13x_0</vt:lpstr>
      <vt:lpstr>'310 &amp; 491'!OSRRefH13x_0</vt:lpstr>
      <vt:lpstr>'311'!OSRRefH13x_0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'415'!OSRRefH13x_0</vt:lpstr>
      <vt:lpstr>'418'!OSRRefH13x_0</vt:lpstr>
      <vt:lpstr>'425'!OSRRefH13x_0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'310'!OSRRefH16x_0</vt:lpstr>
      <vt:lpstr>'310 &amp; 491'!OSRRefH16x_0</vt:lpstr>
      <vt:lpstr>'311'!OSRRefH16x_0</vt:lpstr>
      <vt:lpstr>'315'!OSRRefH16x_0</vt:lpstr>
      <vt:lpstr>'316'!OSRRefH16x_0</vt:lpstr>
      <vt:lpstr>'317'!OSRRefH16x_0</vt:lpstr>
      <vt:lpstr>'321'!OSRRefH16x_0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'321'!OSRRefH22_10x_0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'315'!OSRRefH22_11x_0</vt:lpstr>
      <vt:lpstr>'321'!OSRRefH22_11x_0</vt:lpstr>
      <vt:lpstr>'325'!OSRRefH22_11x_0</vt:lpstr>
      <vt:lpstr>'326'!OSRRefH22_11x_0</vt:lpstr>
      <vt:lpstr>'330'!OSRRefH22_11x_0</vt:lpstr>
      <vt:lpstr>'331'!OSRRefH22_11x_0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Summary!OSRRefH22_11x_0</vt:lpstr>
      <vt:lpstr>'201'!OSRRefH22_12x_0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'310'!OSRRefH22_12x_0</vt:lpstr>
      <vt:lpstr>'310 &amp; 491'!OSRRefH22_12x_0</vt:lpstr>
      <vt:lpstr>'315'!OSRRefH22_12x_0</vt:lpstr>
      <vt:lpstr>'325'!OSRRefH22_12x_0</vt:lpstr>
      <vt:lpstr>'326'!OSRRefH22_12x_0</vt:lpstr>
      <vt:lpstr>'330'!OSRRefH22_12x_0</vt:lpstr>
      <vt:lpstr>'331'!OSRRefH22_12x_0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'310'!OSRRefH22_13x_0</vt:lpstr>
      <vt:lpstr>'310 &amp; 491'!OSRRefH22_13x_0</vt:lpstr>
      <vt:lpstr>'315'!OSRRefH22_13x_0</vt:lpstr>
      <vt:lpstr>'325'!OSRRefH22_13x_0</vt:lpstr>
      <vt:lpstr>'326'!OSRRefH22_13x_0</vt:lpstr>
      <vt:lpstr>'331'!OSRRefH22_13x_0</vt:lpstr>
      <vt:lpstr>'405'!OSRRefH22_13x_0</vt:lpstr>
      <vt:lpstr>'411'!OSRRefH22_13x_0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Summary!OSRRefH22_13x_0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'415'!OSRRefH22_14x_0</vt:lpstr>
      <vt:lpstr>'418'!OSRRefH22_14x_0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'326'!OSRRefH22_15x_0</vt:lpstr>
      <vt:lpstr>'331'!OSRRefH22_15x_0</vt:lpstr>
      <vt:lpstr>'405'!OSRRefH22_15x_0</vt:lpstr>
      <vt:lpstr>'415'!OSRRefH22_15x_0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'326'!OSRRefH22_16x_0</vt:lpstr>
      <vt:lpstr>'331'!OSRRefH22_16x_0</vt:lpstr>
      <vt:lpstr>'415'!OSRRefH22_16x_0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 &amp; 491'!OSRRefH22_17x_0</vt:lpstr>
      <vt:lpstr>'326'!OSRRefH22_17x_0</vt:lpstr>
      <vt:lpstr>'331'!OSRRefH22_17x_0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'315'!OSRRefH22_1x_0</vt:lpstr>
      <vt:lpstr>'316'!OSRRefH22_1x_0</vt:lpstr>
      <vt:lpstr>'317'!OSRRefH22_1x_0</vt:lpstr>
      <vt:lpstr>'321'!OSRRefH22_1x_0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'331'!OSRRefH22_20x_0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'315'!OSRRefH22_2x_0</vt:lpstr>
      <vt:lpstr>'316'!OSRRefH22_2x_0</vt:lpstr>
      <vt:lpstr>'317'!OSRRefH22_2x_0</vt:lpstr>
      <vt:lpstr>'321'!OSRRefH22_2x_0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'411'!OSRRefH22_2x_0</vt:lpstr>
      <vt:lpstr>'412'!OSRRefH22_2x_0</vt:lpstr>
      <vt:lpstr>'413'!OSRRefH22_2x_0</vt:lpstr>
      <vt:lpstr>'415'!OSRRefH22_2x_0</vt:lpstr>
      <vt:lpstr>'418'!OSRRefH22_2x_0</vt:lpstr>
      <vt:lpstr>'423'!OSRRefH22_2x_0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'315'!OSRRefH22_3x_0</vt:lpstr>
      <vt:lpstr>'316'!OSRRefH22_3x_0</vt:lpstr>
      <vt:lpstr>'317'!OSRRefH22_3x_0</vt:lpstr>
      <vt:lpstr>'321'!OSRRefH22_3x_0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'411'!OSRRefH22_3x_0</vt:lpstr>
      <vt:lpstr>'412'!OSRRefH22_3x_0</vt:lpstr>
      <vt:lpstr>'415'!OSRRefH22_3x_0</vt:lpstr>
      <vt:lpstr>'418'!OSRRefH22_3x_0</vt:lpstr>
      <vt:lpstr>'423'!OSRRefH22_3x_0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'310'!OSRRefH22_4x_0</vt:lpstr>
      <vt:lpstr>'310 &amp; 491'!OSRRefH22_4x_0</vt:lpstr>
      <vt:lpstr>'311'!OSRRefH22_4x_0</vt:lpstr>
      <vt:lpstr>'315'!OSRRefH22_4x_0</vt:lpstr>
      <vt:lpstr>'316'!OSRRefH22_4x_0</vt:lpstr>
      <vt:lpstr>'317'!OSRRefH22_4x_0</vt:lpstr>
      <vt:lpstr>'321'!OSRRefH22_4x_0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'411'!OSRRefH22_4x_0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'310'!OSRRefH22_5x_0</vt:lpstr>
      <vt:lpstr>'310 &amp; 491'!OSRRefH22_5x_0</vt:lpstr>
      <vt:lpstr>'311'!OSRRefH22_5x_0</vt:lpstr>
      <vt:lpstr>'315'!OSRRefH22_5x_0</vt:lpstr>
      <vt:lpstr>'316'!OSRRefH22_5x_0</vt:lpstr>
      <vt:lpstr>'317'!OSRRefH22_5x_0</vt:lpstr>
      <vt:lpstr>'321'!OSRRefH22_5x_0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'415'!OSRRefH22_5x_0</vt:lpstr>
      <vt:lpstr>'418'!OSRRefH22_5x_0</vt:lpstr>
      <vt:lpstr>'423'!OSRRefH22_5x_0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'310'!OSRRefH22_6x_0</vt:lpstr>
      <vt:lpstr>'310 &amp; 491'!OSRRefH22_6x_0</vt:lpstr>
      <vt:lpstr>'311'!OSRRefH22_6x_0</vt:lpstr>
      <vt:lpstr>'315'!OSRRefH22_6x_0</vt:lpstr>
      <vt:lpstr>'316'!OSRRefH22_6x_0</vt:lpstr>
      <vt:lpstr>'317'!OSRRefH22_6x_0</vt:lpstr>
      <vt:lpstr>'321'!OSRRefH22_6x_0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'415'!OSRRefH22_6x_0</vt:lpstr>
      <vt:lpstr>'418'!OSRRefH22_6x_0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'310'!OSRRefH22_7x_0</vt:lpstr>
      <vt:lpstr>'310 &amp; 491'!OSRRefH22_7x_0</vt:lpstr>
      <vt:lpstr>'311'!OSRRefH22_7x_0</vt:lpstr>
      <vt:lpstr>'315'!OSRRefH22_7x_0</vt:lpstr>
      <vt:lpstr>'316'!OSRRefH22_7x_0</vt:lpstr>
      <vt:lpstr>'317'!OSRRefH22_7x_0</vt:lpstr>
      <vt:lpstr>'321'!OSRRefH22_7x_0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'415'!OSRRefH22_7x_0</vt:lpstr>
      <vt:lpstr>'418'!OSRRefH22_7x_0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'415'!OSRRefH22_8x_0</vt:lpstr>
      <vt:lpstr>'418'!OSRRefH22_8x_0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'315'!OSRRefH22x_0</vt:lpstr>
      <vt:lpstr>'316'!OSRRefH22x_0</vt:lpstr>
      <vt:lpstr>'317'!OSRRefH22x_0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'415'!OSRRefH25x_0</vt:lpstr>
      <vt:lpstr>'418'!OSRRefH25x_0</vt:lpstr>
      <vt:lpstr>'423'!OSRRefH25x_0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'310'!OSRRefP13x_0</vt:lpstr>
      <vt:lpstr>'310 &amp; 491'!OSRRefP13x_0</vt:lpstr>
      <vt:lpstr>'311'!OSRRefP13x_0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'415'!OSRRefP13x_0</vt:lpstr>
      <vt:lpstr>'418'!OSRRefP13x_0</vt:lpstr>
      <vt:lpstr>'425'!OSRRefP13x_0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'310'!OSRRefP16x_0</vt:lpstr>
      <vt:lpstr>'310 &amp; 491'!OSRRefP16x_0</vt:lpstr>
      <vt:lpstr>'311'!OSRRefP16x_0</vt:lpstr>
      <vt:lpstr>'315'!OSRRefP16x_0</vt:lpstr>
      <vt:lpstr>'316'!OSRRefP16x_0</vt:lpstr>
      <vt:lpstr>'317'!OSRRefP16x_0</vt:lpstr>
      <vt:lpstr>'321'!OSRRefP16x_0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'321'!OSRRefP22_10x_0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'315'!OSRRefP22_11x_0</vt:lpstr>
      <vt:lpstr>'321'!OSRRefP22_11x_0</vt:lpstr>
      <vt:lpstr>'325'!OSRRefP22_11x_0</vt:lpstr>
      <vt:lpstr>'326'!OSRRefP22_11x_0</vt:lpstr>
      <vt:lpstr>'330'!OSRRefP22_11x_0</vt:lpstr>
      <vt:lpstr>'331'!OSRRefP22_11x_0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Summary!OSRRefP22_11x_0</vt:lpstr>
      <vt:lpstr>'201'!OSRRefP22_12x_0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'310'!OSRRefP22_12x_0</vt:lpstr>
      <vt:lpstr>'310 &amp; 491'!OSRRefP22_12x_0</vt:lpstr>
      <vt:lpstr>'315'!OSRRefP22_12x_0</vt:lpstr>
      <vt:lpstr>'325'!OSRRefP22_12x_0</vt:lpstr>
      <vt:lpstr>'326'!OSRRefP22_12x_0</vt:lpstr>
      <vt:lpstr>'330'!OSRRefP22_12x_0</vt:lpstr>
      <vt:lpstr>'331'!OSRRefP22_12x_0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'310'!OSRRefP22_13x_0</vt:lpstr>
      <vt:lpstr>'310 &amp; 491'!OSRRefP22_13x_0</vt:lpstr>
      <vt:lpstr>'315'!OSRRefP22_13x_0</vt:lpstr>
      <vt:lpstr>'325'!OSRRefP22_13x_0</vt:lpstr>
      <vt:lpstr>'326'!OSRRefP22_13x_0</vt:lpstr>
      <vt:lpstr>'331'!OSRRefP22_13x_0</vt:lpstr>
      <vt:lpstr>'405'!OSRRefP22_13x_0</vt:lpstr>
      <vt:lpstr>'411'!OSRRefP22_13x_0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Summary!OSRRefP22_13x_0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'415'!OSRRefP22_14x_0</vt:lpstr>
      <vt:lpstr>'418'!OSRRefP22_14x_0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'326'!OSRRefP22_15x_0</vt:lpstr>
      <vt:lpstr>'331'!OSRRefP22_15x_0</vt:lpstr>
      <vt:lpstr>'405'!OSRRefP22_15x_0</vt:lpstr>
      <vt:lpstr>'415'!OSRRefP22_15x_0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'326'!OSRRefP22_16x_0</vt:lpstr>
      <vt:lpstr>'331'!OSRRefP22_16x_0</vt:lpstr>
      <vt:lpstr>'415'!OSRRefP22_16x_0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 &amp; 491'!OSRRefP22_17x_0</vt:lpstr>
      <vt:lpstr>'326'!OSRRefP22_17x_0</vt:lpstr>
      <vt:lpstr>'331'!OSRRefP22_17x_0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'315'!OSRRefP22_1x_0</vt:lpstr>
      <vt:lpstr>'316'!OSRRefP22_1x_0</vt:lpstr>
      <vt:lpstr>'317'!OSRRefP22_1x_0</vt:lpstr>
      <vt:lpstr>'321'!OSRRefP22_1x_0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'331'!OSRRefP22_20x_0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'315'!OSRRefP22_2x_0</vt:lpstr>
      <vt:lpstr>'316'!OSRRefP22_2x_0</vt:lpstr>
      <vt:lpstr>'317'!OSRRefP22_2x_0</vt:lpstr>
      <vt:lpstr>'321'!OSRRefP22_2x_0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'411'!OSRRefP22_2x_0</vt:lpstr>
      <vt:lpstr>'412'!OSRRefP22_2x_0</vt:lpstr>
      <vt:lpstr>'413'!OSRRefP22_2x_0</vt:lpstr>
      <vt:lpstr>'415'!OSRRefP22_2x_0</vt:lpstr>
      <vt:lpstr>'418'!OSRRefP22_2x_0</vt:lpstr>
      <vt:lpstr>'423'!OSRRefP22_2x_0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'315'!OSRRefP22_3x_0</vt:lpstr>
      <vt:lpstr>'316'!OSRRefP22_3x_0</vt:lpstr>
      <vt:lpstr>'317'!OSRRefP22_3x_0</vt:lpstr>
      <vt:lpstr>'321'!OSRRefP22_3x_0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'411'!OSRRefP22_3x_0</vt:lpstr>
      <vt:lpstr>'412'!OSRRefP22_3x_0</vt:lpstr>
      <vt:lpstr>'415'!OSRRefP22_3x_0</vt:lpstr>
      <vt:lpstr>'418'!OSRRefP22_3x_0</vt:lpstr>
      <vt:lpstr>'423'!OSRRefP22_3x_0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'310'!OSRRefP22_4x_0</vt:lpstr>
      <vt:lpstr>'310 &amp; 491'!OSRRefP22_4x_0</vt:lpstr>
      <vt:lpstr>'311'!OSRRefP22_4x_0</vt:lpstr>
      <vt:lpstr>'315'!OSRRefP22_4x_0</vt:lpstr>
      <vt:lpstr>'316'!OSRRefP22_4x_0</vt:lpstr>
      <vt:lpstr>'317'!OSRRefP22_4x_0</vt:lpstr>
      <vt:lpstr>'321'!OSRRefP22_4x_0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'411'!OSRRefP22_4x_0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'310'!OSRRefP22_5x_0</vt:lpstr>
      <vt:lpstr>'310 &amp; 491'!OSRRefP22_5x_0</vt:lpstr>
      <vt:lpstr>'311'!OSRRefP22_5x_0</vt:lpstr>
      <vt:lpstr>'315'!OSRRefP22_5x_0</vt:lpstr>
      <vt:lpstr>'316'!OSRRefP22_5x_0</vt:lpstr>
      <vt:lpstr>'317'!OSRRefP22_5x_0</vt:lpstr>
      <vt:lpstr>'321'!OSRRefP22_5x_0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'415'!OSRRefP22_5x_0</vt:lpstr>
      <vt:lpstr>'418'!OSRRefP22_5x_0</vt:lpstr>
      <vt:lpstr>'423'!OSRRefP22_5x_0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'310'!OSRRefP22_6x_0</vt:lpstr>
      <vt:lpstr>'310 &amp; 491'!OSRRefP22_6x_0</vt:lpstr>
      <vt:lpstr>'311'!OSRRefP22_6x_0</vt:lpstr>
      <vt:lpstr>'315'!OSRRefP22_6x_0</vt:lpstr>
      <vt:lpstr>'316'!OSRRefP22_6x_0</vt:lpstr>
      <vt:lpstr>'317'!OSRRefP22_6x_0</vt:lpstr>
      <vt:lpstr>'321'!OSRRefP22_6x_0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'415'!OSRRefP22_6x_0</vt:lpstr>
      <vt:lpstr>'418'!OSRRefP22_6x_0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'310'!OSRRefP22_7x_0</vt:lpstr>
      <vt:lpstr>'310 &amp; 491'!OSRRefP22_7x_0</vt:lpstr>
      <vt:lpstr>'311'!OSRRefP22_7x_0</vt:lpstr>
      <vt:lpstr>'315'!OSRRefP22_7x_0</vt:lpstr>
      <vt:lpstr>'316'!OSRRefP22_7x_0</vt:lpstr>
      <vt:lpstr>'317'!OSRRefP22_7x_0</vt:lpstr>
      <vt:lpstr>'321'!OSRRefP22_7x_0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'415'!OSRRefP22_7x_0</vt:lpstr>
      <vt:lpstr>'418'!OSRRefP22_7x_0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'415'!OSRRefP22_8x_0</vt:lpstr>
      <vt:lpstr>'418'!OSRRefP22_8x_0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'315'!OSRRefP22x_0</vt:lpstr>
      <vt:lpstr>'316'!OSRRefP22x_0</vt:lpstr>
      <vt:lpstr>'317'!OSRRefP22x_0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'415'!OSRRefP25x_0</vt:lpstr>
      <vt:lpstr>'418'!OSRRefP25x_0</vt:lpstr>
      <vt:lpstr>'423'!OSRRefP25x_0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'310'!OSRRefT13x_0</vt:lpstr>
      <vt:lpstr>'310 &amp; 491'!OSRRefT13x_0</vt:lpstr>
      <vt:lpstr>'311'!OSRRefT13x_0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'415'!OSRRefT13x_0</vt:lpstr>
      <vt:lpstr>'418'!OSRRefT13x_0</vt:lpstr>
      <vt:lpstr>'425'!OSRRefT13x_0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'310'!OSRRefT16x_0</vt:lpstr>
      <vt:lpstr>'310 &amp; 491'!OSRRefT16x_0</vt:lpstr>
      <vt:lpstr>'311'!OSRRefT16x_0</vt:lpstr>
      <vt:lpstr>'315'!OSRRefT16x_0</vt:lpstr>
      <vt:lpstr>'316'!OSRRefT16x_0</vt:lpstr>
      <vt:lpstr>'317'!OSRRefT16x_0</vt:lpstr>
      <vt:lpstr>'321'!OSRRefT16x_0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'321'!OSRRefT22_10x_0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'315'!OSRRefT22_11x_0</vt:lpstr>
      <vt:lpstr>'321'!OSRRefT22_11x_0</vt:lpstr>
      <vt:lpstr>'325'!OSRRefT22_11x_0</vt:lpstr>
      <vt:lpstr>'326'!OSRRefT22_11x_0</vt:lpstr>
      <vt:lpstr>'330'!OSRRefT22_11x_0</vt:lpstr>
      <vt:lpstr>'331'!OSRRefT22_11x_0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Summary!OSRRefT22_11x_0</vt:lpstr>
      <vt:lpstr>'201'!OSRRefT22_12x_0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'310'!OSRRefT22_12x_0</vt:lpstr>
      <vt:lpstr>'310 &amp; 491'!OSRRefT22_12x_0</vt:lpstr>
      <vt:lpstr>'315'!OSRRefT22_12x_0</vt:lpstr>
      <vt:lpstr>'325'!OSRRefT22_12x_0</vt:lpstr>
      <vt:lpstr>'326'!OSRRefT22_12x_0</vt:lpstr>
      <vt:lpstr>'330'!OSRRefT22_12x_0</vt:lpstr>
      <vt:lpstr>'331'!OSRRefT22_12x_0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'310'!OSRRefT22_13x_0</vt:lpstr>
      <vt:lpstr>'310 &amp; 491'!OSRRefT22_13x_0</vt:lpstr>
      <vt:lpstr>'315'!OSRRefT22_13x_0</vt:lpstr>
      <vt:lpstr>'325'!OSRRefT22_13x_0</vt:lpstr>
      <vt:lpstr>'326'!OSRRefT22_13x_0</vt:lpstr>
      <vt:lpstr>'331'!OSRRefT22_13x_0</vt:lpstr>
      <vt:lpstr>'405'!OSRRefT22_13x_0</vt:lpstr>
      <vt:lpstr>'411'!OSRRefT22_13x_0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Summary!OSRRefT22_13x_0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'415'!OSRRefT22_14x_0</vt:lpstr>
      <vt:lpstr>'418'!OSRRefT22_14x_0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'326'!OSRRefT22_15x_0</vt:lpstr>
      <vt:lpstr>'331'!OSRRefT22_15x_0</vt:lpstr>
      <vt:lpstr>'405'!OSRRefT22_15x_0</vt:lpstr>
      <vt:lpstr>'415'!OSRRefT22_15x_0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'326'!OSRRefT22_16x_0</vt:lpstr>
      <vt:lpstr>'331'!OSRRefT22_16x_0</vt:lpstr>
      <vt:lpstr>'415'!OSRRefT22_16x_0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 &amp; 491'!OSRRefT22_17x_0</vt:lpstr>
      <vt:lpstr>'326'!OSRRefT22_17x_0</vt:lpstr>
      <vt:lpstr>'331'!OSRRefT22_17x_0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'315'!OSRRefT22_1x_0</vt:lpstr>
      <vt:lpstr>'316'!OSRRefT22_1x_0</vt:lpstr>
      <vt:lpstr>'317'!OSRRefT22_1x_0</vt:lpstr>
      <vt:lpstr>'321'!OSRRefT22_1x_0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'331'!OSRRefT22_20x_0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'315'!OSRRefT22_2x_0</vt:lpstr>
      <vt:lpstr>'316'!OSRRefT22_2x_0</vt:lpstr>
      <vt:lpstr>'317'!OSRRefT22_2x_0</vt:lpstr>
      <vt:lpstr>'321'!OSRRefT22_2x_0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'411'!OSRRefT22_2x_0</vt:lpstr>
      <vt:lpstr>'412'!OSRRefT22_2x_0</vt:lpstr>
      <vt:lpstr>'413'!OSRRefT22_2x_0</vt:lpstr>
      <vt:lpstr>'415'!OSRRefT22_2x_0</vt:lpstr>
      <vt:lpstr>'418'!OSRRefT22_2x_0</vt:lpstr>
      <vt:lpstr>'423'!OSRRefT22_2x_0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'315'!OSRRefT22_3x_0</vt:lpstr>
      <vt:lpstr>'316'!OSRRefT22_3x_0</vt:lpstr>
      <vt:lpstr>'317'!OSRRefT22_3x_0</vt:lpstr>
      <vt:lpstr>'321'!OSRRefT22_3x_0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'411'!OSRRefT22_3x_0</vt:lpstr>
      <vt:lpstr>'412'!OSRRefT22_3x_0</vt:lpstr>
      <vt:lpstr>'415'!OSRRefT22_3x_0</vt:lpstr>
      <vt:lpstr>'418'!OSRRefT22_3x_0</vt:lpstr>
      <vt:lpstr>'423'!OSRRefT22_3x_0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'310'!OSRRefT22_4x_0</vt:lpstr>
      <vt:lpstr>'310 &amp; 491'!OSRRefT22_4x_0</vt:lpstr>
      <vt:lpstr>'311'!OSRRefT22_4x_0</vt:lpstr>
      <vt:lpstr>'315'!OSRRefT22_4x_0</vt:lpstr>
      <vt:lpstr>'316'!OSRRefT22_4x_0</vt:lpstr>
      <vt:lpstr>'317'!OSRRefT22_4x_0</vt:lpstr>
      <vt:lpstr>'321'!OSRRefT22_4x_0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'411'!OSRRefT22_4x_0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'310'!OSRRefT22_5x_0</vt:lpstr>
      <vt:lpstr>'310 &amp; 491'!OSRRefT22_5x_0</vt:lpstr>
      <vt:lpstr>'311'!OSRRefT22_5x_0</vt:lpstr>
      <vt:lpstr>'315'!OSRRefT22_5x_0</vt:lpstr>
      <vt:lpstr>'316'!OSRRefT22_5x_0</vt:lpstr>
      <vt:lpstr>'317'!OSRRefT22_5x_0</vt:lpstr>
      <vt:lpstr>'321'!OSRRefT22_5x_0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'415'!OSRRefT22_5x_0</vt:lpstr>
      <vt:lpstr>'418'!OSRRefT22_5x_0</vt:lpstr>
      <vt:lpstr>'423'!OSRRefT22_5x_0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'310'!OSRRefT22_6x_0</vt:lpstr>
      <vt:lpstr>'310 &amp; 491'!OSRRefT22_6x_0</vt:lpstr>
      <vt:lpstr>'311'!OSRRefT22_6x_0</vt:lpstr>
      <vt:lpstr>'315'!OSRRefT22_6x_0</vt:lpstr>
      <vt:lpstr>'316'!OSRRefT22_6x_0</vt:lpstr>
      <vt:lpstr>'317'!OSRRefT22_6x_0</vt:lpstr>
      <vt:lpstr>'321'!OSRRefT22_6x_0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'415'!OSRRefT22_6x_0</vt:lpstr>
      <vt:lpstr>'418'!OSRRefT22_6x_0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'310'!OSRRefT22_7x_0</vt:lpstr>
      <vt:lpstr>'310 &amp; 491'!OSRRefT22_7x_0</vt:lpstr>
      <vt:lpstr>'311'!OSRRefT22_7x_0</vt:lpstr>
      <vt:lpstr>'315'!OSRRefT22_7x_0</vt:lpstr>
      <vt:lpstr>'316'!OSRRefT22_7x_0</vt:lpstr>
      <vt:lpstr>'317'!OSRRefT22_7x_0</vt:lpstr>
      <vt:lpstr>'321'!OSRRefT22_7x_0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'415'!OSRRefT22_7x_0</vt:lpstr>
      <vt:lpstr>'418'!OSRRefT22_7x_0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'415'!OSRRefT22_8x_0</vt:lpstr>
      <vt:lpstr>'418'!OSRRefT22_8x_0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'315'!OSRRefT22x_0</vt:lpstr>
      <vt:lpstr>'316'!OSRRefT22x_0</vt:lpstr>
      <vt:lpstr>'317'!OSRRefT22x_0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'415'!OSRRefT25x_0</vt:lpstr>
      <vt:lpstr>'418'!OSRRefT25x_0</vt:lpstr>
      <vt:lpstr>'423'!OSRRefT25x_0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'444'!Print_Area</vt:lpstr>
      <vt:lpstr>'450'!Print_Area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'444'!Print_Titles</vt:lpstr>
      <vt:lpstr>'450'!Print_Titles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2021-11-17T23:09:38Z</dcterms:created>
  <dcterms:modified xsi:type="dcterms:W3CDTF">2021-11-17T23:11:55Z</dcterms:modified>
</cp:coreProperties>
</file>